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Default Extension="doc" ContentType="application/msword"/>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4837BA0-65D6-932C-5D65-3B800EBDC722}"/>
  <workbookPr codeName="ThisWorkbook" defaultThemeVersion="153222"/>
  <mc:AlternateContent xmlns:mc="http://schemas.openxmlformats.org/markup-compatibility/2006">
    <mc:Choice Requires="x15">
      <x15ac:absPath xmlns:x15ac="http://schemas.microsoft.com/office/spreadsheetml/2010/11/ac" url="C:\Users\JacobsoE\Documents\"/>
    </mc:Choice>
  </mc:AlternateContent>
  <bookViews>
    <workbookView xWindow="0" yWindow="0" windowWidth="23040" windowHeight="9192"/>
  </bookViews>
  <sheets>
    <sheet name="WBD" sheetId="3" r:id="rId1"/>
    <sheet name="PROCEDURE" sheetId="2" state="hidden" r:id="rId2"/>
    <sheet name="FORM 6" sheetId="6" r:id="rId3"/>
    <sheet name="COVER" sheetId="4" state="hidden" r:id="rId4"/>
    <sheet name="PROG ADD INS" sheetId="8" state="hidden" r:id="rId5"/>
    <sheet name="Flare Distance Criteria" sheetId="7" state="hidden" r:id="rId6"/>
    <sheet name="CMT CALC" sheetId="5" state="hidden" r:id="rId7"/>
    <sheet name="Max Treating Pressures" sheetId="9" state="hidden" r:id="rId8"/>
    <sheet name="INPUTS" sheetId="1" state="hidden" r:id="rId9"/>
  </sheets>
  <definedNames>
    <definedName name="Age_of_well__yr">WBD!#REF!</definedName>
    <definedName name="API">WBD!#REF!</definedName>
    <definedName name="Bailer_Vol">INPUTS!$B$55</definedName>
    <definedName name="BH_Bot_Sq_Holes__ft">WBD!#REF!</definedName>
    <definedName name="BH_Cement_Vol__sx">WBD!#REF!</definedName>
    <definedName name="BH_CICR__ft">WBD!#REF!</definedName>
    <definedName name="BH_Circ_Max_P__psi">INPUTS!$B$56</definedName>
    <definedName name="BH_Cmt_Above_CICR__bbl">WBD!#REF!</definedName>
    <definedName name="BH_Cmt_Above_CICR__sx">'CMT CALC'!$L$57</definedName>
    <definedName name="BH_OH_Excess_Factor">WBD!#REF!</definedName>
    <definedName name="BH_Sq_Max_P__psi">INPUTS!$B$57</definedName>
    <definedName name="BH_Sq_ppg">'CMT CALC'!$L$55</definedName>
    <definedName name="BH_Sq_yld">'CMT CALC'!$L$56</definedName>
    <definedName name="BH_Squeezed__sx">'CMT CALC'!$L$61</definedName>
    <definedName name="BH_TOC_in_Casing__ft">WBD!#REF!</definedName>
    <definedName name="BH_Top_Sq_Holes__ft">WBD!#REF!</definedName>
    <definedName name="Bottom_of_Cement_Column__ft">'Max Treating Pressures'!$N$79</definedName>
    <definedName name="Bradenhead_Issues?__Y_N">WBD!#REF!</definedName>
    <definedName name="CBL_Found__Y_N">WBD!#REF!</definedName>
    <definedName name="Cell_Phone_Number">WBD!#REF!</definedName>
    <definedName name="Cmt_Vol_Left_in_Tbg__bbls">'Max Treating Pressures'!$N$76</definedName>
    <definedName name="Cmt_Vol_Left_in_Tbg__sx">'Max Treating Pressures'!$N$77</definedName>
    <definedName name="Cmt_Vol_Squeezed__sx">'Max Treating Pressures'!$N$74</definedName>
    <definedName name="Collar_Above_Fmtn_CIBP__ft">WBD!#REF!</definedName>
    <definedName name="Collar_Above_JSand_CIBP__ft">WBD!#REF!</definedName>
    <definedName name="Collar_Above_Lower_Stub_CIBP__ft">WBD!#REF!</definedName>
    <definedName name="Collar_Above_Nio_CIBP__ft">WBD!#REF!</definedName>
    <definedName name="Collar_Above_SUSX_CIBP__ft">WBD!#REF!</definedName>
    <definedName name="Collar_Below_Fmtn_CIBP__ft">WBD!#REF!</definedName>
    <definedName name="Collar_Below_JSand_CIBP__ft">WBD!#REF!</definedName>
    <definedName name="Collar_Below_Lower_Stub_CIBP__ft">WBD!#REF!</definedName>
    <definedName name="Collar_Below_Nio_CIBP__ft">WBD!#REF!</definedName>
    <definedName name="Collar_Below_SUSX_CIBP__ft">WBD!#REF!</definedName>
    <definedName name="County">WBD!$C$3</definedName>
    <definedName name="Cut_Casing_Depth__ft">WBD!#REF!</definedName>
    <definedName name="Date">WBD!#REF!</definedName>
    <definedName name="Deepest_CIBP__ft">INPUTS!$B$54</definedName>
    <definedName name="Details_of_Integrity_Issues?">WBD!#REF!</definedName>
    <definedName name="Engineer">WBD!#REF!</definedName>
    <definedName name="FHM__ft">WBD!#REF!</definedName>
    <definedName name="Flush1">WBD!#REF!</definedName>
    <definedName name="Flush2">WBD!#REF!</definedName>
    <definedName name="Fmtn_CIBP__ft">WBD!#REF!</definedName>
    <definedName name="Gyro_Date">WBD!#REF!</definedName>
    <definedName name="GYRO_DIR">WBD!#REF!</definedName>
    <definedName name="Gyro_Found__Y_N">WBD!#REF!</definedName>
    <definedName name="Hesitation_Bot_Sq_Holes__ft">WBD!#REF!</definedName>
    <definedName name="Hesitation_Cement_Vol__sx">WBD!#REF!</definedName>
    <definedName name="Hesitation_CICR__ft">WBD!#REF!</definedName>
    <definedName name="Hesitation_Circ_Max_P__psi">INPUTS!$B$62</definedName>
    <definedName name="Hesitation_Cmt_Above_CICR__bbls">WBD!#REF!</definedName>
    <definedName name="Hesitation_Cmt_Above_CICR__sx">'CMT CALC'!$I$57</definedName>
    <definedName name="Hesitation_OH_Excess_Factor">WBD!#REF!</definedName>
    <definedName name="Hesitation_Sq_Max_P__psi">INPUTS!$B$63</definedName>
    <definedName name="Hesitation_Sq_ppg">'CMT CALC'!$I$55</definedName>
    <definedName name="Hesitation_Sq_yld">'CMT CALC'!$I$56:$I$56</definedName>
    <definedName name="Hesitation_Squeezed__sx">'CMT CALC'!$I$61</definedName>
    <definedName name="Hesitation_TOC_in_Casing__ft">WBD!#REF!</definedName>
    <definedName name="Hesitation_TOC_outside_Casing__ft">WBD!#REF!</definedName>
    <definedName name="Ideal_Cut_Casing_Depth__ft">INPUTS!$B$53</definedName>
    <definedName name="J_Sand_CIBP__ft">WBD!#REF!</definedName>
    <definedName name="LATITUDE">WBD!$C$4</definedName>
    <definedName name="Liner_Casing__size_wt">WBD!#REF!</definedName>
    <definedName name="Liner_Casing_Shoe__ft">WBD!#REF!</definedName>
    <definedName name="Liner_Hanger__ft">WBD!#REF!</definedName>
    <definedName name="Liner_Hole_Size__in">WBD!#REF!</definedName>
    <definedName name="LONGITUDE">WBD!$C$5</definedName>
    <definedName name="Max_Circ_P__psi">'Max Treating Pressures'!$E$13</definedName>
    <definedName name="Max_Pump_P__psi">'Max Treating Pressures'!$D$50</definedName>
    <definedName name="Max_Sq_P__psi">'Max Treating Pressures'!$E$33</definedName>
    <definedName name="Name">WBD!$G$5</definedName>
    <definedName name="NB_Bot_Sq_Holes__ft">WBD!#REF!</definedName>
    <definedName name="NB_Cement_Vol__sx">WBD!#REF!</definedName>
    <definedName name="NB_CICR__ft">WBD!#REF!</definedName>
    <definedName name="NB_Circ_Max_P__psi">INPUTS!$B$60</definedName>
    <definedName name="NB_Cmt_Above_CICR__bbl">WBD!#REF!</definedName>
    <definedName name="NB_Cmt_Above_CICR__sx">'CMT CALC'!$R$57</definedName>
    <definedName name="NB_OH_Excess_Factor">WBD!#REF!</definedName>
    <definedName name="NB_Plug_ppg">'CMT CALC'!$L$9</definedName>
    <definedName name="NB_Plug_yld">'CMT CALC'!$L$10</definedName>
    <definedName name="NB_Sq_Max_P__psi">INPUTS!$B$61</definedName>
    <definedName name="NB_Sq_ppg">'CMT CALC'!$R$55</definedName>
    <definedName name="NB_Sq_yld">'CMT CALC'!$R$56</definedName>
    <definedName name="NB_Squeezed__sx">'CMT CALC'!$R$61</definedName>
    <definedName name="NB_TOC_in_Casing__ft">WBD!#REF!</definedName>
    <definedName name="NB_Top_Sq_Holes__ft">WBD!#REF!</definedName>
    <definedName name="Niobrara_Cement_Vol__sx">WBD!#REF!</definedName>
    <definedName name="Niobrara_CIBP___BOC__ft">WBD!#REF!</definedName>
    <definedName name="Niobrara_TOC__ft">WBD!#REF!</definedName>
    <definedName name="Niobrara_Top__ft">WBD!#REF!</definedName>
    <definedName name="OH_Excess_Factor">WBD!#REF!</definedName>
    <definedName name="Packer_Depth__ft">WBD!#REF!</definedName>
    <definedName name="Packer_Downhole?__Y_N">WBD!#REF!</definedName>
    <definedName name="_xlnm.Print_Area" localSheetId="2">'FORM 6'!$A$1:$V$81</definedName>
    <definedName name="_xlnm.Print_Area" localSheetId="1">PROCEDURE!$A$1:$B$51</definedName>
    <definedName name="_xlnm.Print_Area" localSheetId="0">WBD!$A$1:$Q$53</definedName>
    <definedName name="Prod._Csg._Size">WBD!#REF!</definedName>
    <definedName name="Prod_csg__size_wt">WBD!#REF!</definedName>
    <definedName name="Prod_Csg_Nom_Dia">WBD!#REF!</definedName>
    <definedName name="Prod_Hole_Size__in">WBD!#REF!</definedName>
    <definedName name="Production_Casing_Shoe__ft">WBD!#REF!</definedName>
    <definedName name="Pump_Increments__bbls">'Max Treating Pressures'!$O$46</definedName>
    <definedName name="Pump_Rate__bpm">'CMT CALC'!$L$3</definedName>
    <definedName name="Range">WBD!$O$4</definedName>
    <definedName name="Section">WBD!$O$2</definedName>
    <definedName name="SH_Productive?__Y_N">WBD!#REF!</definedName>
    <definedName name="Shannon_Base__ft">WBD!#REF!</definedName>
    <definedName name="Sq_Info_Cmt_Over_CICR__bbls">'Max Treating Pressures'!$N$57</definedName>
    <definedName name="Squeeze_Cmt_Pumped__bbls">'Max Treating Pressures'!$N$48</definedName>
    <definedName name="Squeeze_Holes">WBD!#REF!</definedName>
    <definedName name="Squeeze_Max_Pump_Pressure__psi">'Max Treating Pressures'!$N$90</definedName>
    <definedName name="Squeeze_Total_Volumn_Pumped__bbls">'Max Treating Pressures'!$N$50</definedName>
    <definedName name="Squeeze_Water_Pumped__bbls">'Max Treating Pressures'!$N$49</definedName>
    <definedName name="Straight_or_Deviated_Hole?">WBD!#REF!</definedName>
    <definedName name="Stub_Lower_Cement_Vol__sx">WBD!#REF!</definedName>
    <definedName name="Stub_Lower_CIBP__ft">WBD!#REF!</definedName>
    <definedName name="Stub_Lower_Cmt_above_CIBP__sx">WBD!#REF!</definedName>
    <definedName name="Stub_Lower_Plug_Lenght__ft">WBD!#REF!</definedName>
    <definedName name="Stub_Lower_TOC__ft">WBD!#REF!</definedName>
    <definedName name="Stub_Plug_BOC__ft">WBD!#REF!</definedName>
    <definedName name="Stub_Plug_Cement_Vol__sx">WBD!#REF!</definedName>
    <definedName name="Stub_Plug_ppg">'CMT CALC'!$L$35</definedName>
    <definedName name="Stub_Plug_TOC_Calc__ft">WBD!#REF!</definedName>
    <definedName name="Stub_Plug_TOC_Form6__ft">WBD!#REF!</definedName>
    <definedName name="Stub_Plug_yld">'CMT CALC'!$L$36</definedName>
    <definedName name="Surface_Casing__size_wt">WBD!#REF!</definedName>
    <definedName name="Surface_Casing_Shoe__ft">WBD!#REF!</definedName>
    <definedName name="Surface_Hole_Size__in">WBD!#REF!</definedName>
    <definedName name="Sussex_Base__ft">WBD!#REF!</definedName>
    <definedName name="Sussex_Top__ft">WBD!#REF!</definedName>
    <definedName name="SUSX_CIBP">WBD!#REF!</definedName>
    <definedName name="SUSX_Circ_Max_P__psi">INPUTS!$B$58</definedName>
    <definedName name="SUSX_SH_Bot_Sq_Holes__ft">WBD!#REF!</definedName>
    <definedName name="SUSX_SH_Cement_Vol__sx">WBD!#REF!</definedName>
    <definedName name="SUSX_SH_CICR__ft">WBD!#REF!</definedName>
    <definedName name="SUSX_SH_Cmt_Above_CICR__bbl">WBD!#REF!</definedName>
    <definedName name="SUSX_SH_Cmt_Above_CICR__sx">'CMT CALC'!$O$57</definedName>
    <definedName name="SUSX_SH_OH_Excess_Factor">WBD!#REF!</definedName>
    <definedName name="SUSX_SH_Productive?__Y_N">WBD!#REF!</definedName>
    <definedName name="SUSX_SH_Squeezed__sx">'CMT CALC'!$O$61</definedName>
    <definedName name="SUSX_SH_TOC_in_Casing__ft">WBD!#REF!</definedName>
    <definedName name="SUSX_SH_Top_Sq_Holes__ft">WBD!#REF!</definedName>
    <definedName name="SUSX_Sq_Max_P__psi">INPUTS!$B$59</definedName>
    <definedName name="SUSX_Sq_ppg">'CMT CALC'!$O$55</definedName>
    <definedName name="SUSX_Sq_yld">'CMT CALC'!$O$56</definedName>
    <definedName name="Top_of_Cement_Column__ft">'Max Treating Pressures'!$N$78</definedName>
    <definedName name="Total_Cmt_Vol__bbls">'Max Treating Pressures'!$N$64</definedName>
    <definedName name="Township">WBD!$O$3</definedName>
    <definedName name="Tubing_OD__in">WBD!#REF!</definedName>
    <definedName name="Tubing_Set_Depth__ft">WBD!#REF!</definedName>
    <definedName name="Well_Name">WBD!#REF!</definedName>
    <definedName name="Who_Drilled_Well?">WBD!#REF!</definedName>
    <definedName name="WINS">WBD!#REF!</definedName>
    <definedName name="Work_String_OD__in">'CMT CALC'!$L$2</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26" i="2" l="1"/>
  <c r="B25" i="2"/>
  <c r="B30" i="2" l="1"/>
  <c r="B22" i="2"/>
  <c r="B32" i="2"/>
  <c r="B60" i="8" l="1"/>
  <c r="B66" i="8" l="1"/>
  <c r="B34" i="8"/>
  <c r="B16" i="8"/>
  <c r="B25" i="8"/>
  <c r="D50" i="9"/>
  <c r="N63" i="9"/>
  <c r="N64" i="9" s="1"/>
  <c r="O48" i="9"/>
  <c r="N66" i="9"/>
  <c r="N65" i="9"/>
  <c r="S48" i="9" l="1"/>
  <c r="I10" i="9"/>
  <c r="S45" i="9"/>
  <c r="S52" i="9" s="1"/>
  <c r="N50" i="9"/>
  <c r="O49" i="9"/>
  <c r="N67" i="9"/>
  <c r="N68" i="9"/>
  <c r="P48" i="9"/>
  <c r="S53" i="9"/>
  <c r="S51" i="9"/>
  <c r="S44" i="9"/>
  <c r="S46" i="9" l="1"/>
  <c r="N78" i="9"/>
  <c r="N75" i="9" s="1"/>
  <c r="O50" i="9"/>
  <c r="N69" i="9"/>
  <c r="E7" i="9"/>
  <c r="E27" i="9"/>
  <c r="D27" i="9"/>
  <c r="I8" i="9"/>
  <c r="E10" i="9" s="1"/>
  <c r="B65" i="8"/>
  <c r="C21" i="2"/>
  <c r="N83" i="9" l="1"/>
  <c r="N82" i="9"/>
  <c r="N79" i="9"/>
  <c r="N77" i="9" l="1"/>
  <c r="N76" i="9"/>
  <c r="N89" i="9"/>
  <c r="N85" i="9"/>
  <c r="N70" i="9"/>
  <c r="N88" i="9"/>
  <c r="N71" i="9"/>
  <c r="B9" i="2"/>
  <c r="I47" i="5"/>
  <c r="I49" i="5"/>
  <c r="I60" i="5"/>
  <c r="I50" i="5"/>
  <c r="I48" i="5"/>
  <c r="I45" i="5"/>
  <c r="I43" i="5"/>
  <c r="I44" i="5"/>
  <c r="I42" i="5"/>
  <c r="I51" i="5"/>
  <c r="I57" i="5" s="1"/>
  <c r="O25" i="5"/>
  <c r="O26" i="5" s="1"/>
  <c r="B16" i="2"/>
  <c r="R60" i="5"/>
  <c r="O60" i="5"/>
  <c r="L60" i="5"/>
  <c r="R47" i="5"/>
  <c r="O47" i="5"/>
  <c r="L47" i="5"/>
  <c r="E4" i="9"/>
  <c r="K40" i="9"/>
  <c r="J40" i="9"/>
  <c r="I40" i="9"/>
  <c r="K39" i="9"/>
  <c r="J39" i="9"/>
  <c r="I39" i="9"/>
  <c r="J38" i="9"/>
  <c r="K37" i="9"/>
  <c r="K36" i="9" s="1"/>
  <c r="J37" i="9"/>
  <c r="I37" i="9"/>
  <c r="I38" i="9" s="1"/>
  <c r="K35" i="9"/>
  <c r="J35" i="9"/>
  <c r="J36" i="9" s="1"/>
  <c r="I35" i="9"/>
  <c r="U10" i="9"/>
  <c r="D34" i="9"/>
  <c r="U9" i="9"/>
  <c r="U8" i="9"/>
  <c r="D32" i="9"/>
  <c r="A32" i="9"/>
  <c r="I31" i="9"/>
  <c r="E24" i="9" s="1"/>
  <c r="I29" i="9"/>
  <c r="S49" i="9" s="1"/>
  <c r="D29" i="9"/>
  <c r="A29" i="9"/>
  <c r="K19" i="9"/>
  <c r="I19" i="9"/>
  <c r="K18" i="9"/>
  <c r="K17" i="9"/>
  <c r="I18" i="9"/>
  <c r="J17" i="9"/>
  <c r="K16" i="9"/>
  <c r="I16" i="9"/>
  <c r="I17" i="9" s="1"/>
  <c r="J15" i="9"/>
  <c r="K14" i="9"/>
  <c r="K15" i="9" s="1"/>
  <c r="I14" i="9"/>
  <c r="D14" i="9"/>
  <c r="D12" i="9"/>
  <c r="A12" i="9"/>
  <c r="D9" i="9"/>
  <c r="A9" i="9"/>
  <c r="D7" i="9"/>
  <c r="I36" i="9"/>
  <c r="B53" i="1"/>
  <c r="B51" i="8"/>
  <c r="B50" i="8"/>
  <c r="O33" i="5"/>
  <c r="O32" i="5"/>
  <c r="O35" i="5"/>
  <c r="B47" i="8"/>
  <c r="B5" i="2"/>
  <c r="B32" i="8"/>
  <c r="B23" i="8"/>
  <c r="B42" i="8"/>
  <c r="B33" i="8"/>
  <c r="R51" i="5"/>
  <c r="R57" i="5" s="1"/>
  <c r="O51" i="5"/>
  <c r="O57" i="5" s="1"/>
  <c r="L51" i="5"/>
  <c r="L57" i="5" s="1"/>
  <c r="B54" i="1"/>
  <c r="B13" i="2" s="1"/>
  <c r="O11" i="5"/>
  <c r="O12" i="5" s="1"/>
  <c r="O50" i="5"/>
  <c r="O49" i="5"/>
  <c r="O48" i="5"/>
  <c r="O45" i="5"/>
  <c r="O44" i="5"/>
  <c r="O43" i="5"/>
  <c r="O42" i="5"/>
  <c r="R50" i="5"/>
  <c r="R49" i="5"/>
  <c r="R48" i="5"/>
  <c r="R45" i="5"/>
  <c r="R44" i="5"/>
  <c r="R43" i="5"/>
  <c r="R42" i="5"/>
  <c r="L45" i="5"/>
  <c r="L44" i="5"/>
  <c r="L43" i="5"/>
  <c r="L30" i="5"/>
  <c r="B18" i="2"/>
  <c r="B51" i="2"/>
  <c r="B50" i="2"/>
  <c r="B49" i="2"/>
  <c r="B48" i="2"/>
  <c r="B47" i="2"/>
  <c r="B46" i="2"/>
  <c r="B39" i="2"/>
  <c r="B31" i="2"/>
  <c r="L26" i="5"/>
  <c r="L25" i="5" s="1"/>
  <c r="B55" i="1"/>
  <c r="B17" i="2"/>
  <c r="B14" i="2"/>
  <c r="L50" i="5"/>
  <c r="L42" i="5"/>
  <c r="L48" i="5"/>
  <c r="L49" i="5"/>
  <c r="G11" i="5"/>
  <c r="G12" i="5"/>
  <c r="G13" i="5"/>
  <c r="G14" i="5"/>
  <c r="G15" i="5"/>
  <c r="G16" i="5"/>
  <c r="G17" i="5"/>
  <c r="G18" i="5"/>
  <c r="G19" i="5"/>
  <c r="G20" i="5"/>
  <c r="G21" i="5"/>
  <c r="G22" i="5"/>
  <c r="G23" i="5"/>
  <c r="G24" i="5"/>
  <c r="G25" i="5"/>
  <c r="G26" i="5"/>
  <c r="G27" i="5"/>
  <c r="G28" i="5"/>
  <c r="G29" i="5"/>
  <c r="G30" i="5"/>
  <c r="F11" i="5"/>
  <c r="F12" i="5"/>
  <c r="F13" i="5"/>
  <c r="F14" i="5"/>
  <c r="F15" i="5"/>
  <c r="F16" i="5"/>
  <c r="F17" i="5"/>
  <c r="F18" i="5"/>
  <c r="F19" i="5"/>
  <c r="F20" i="5"/>
  <c r="F21" i="5"/>
  <c r="F22" i="5"/>
  <c r="F23" i="5"/>
  <c r="F24" i="5"/>
  <c r="F25" i="5"/>
  <c r="F26" i="5"/>
  <c r="F27" i="5"/>
  <c r="F28" i="5"/>
  <c r="F29" i="5"/>
  <c r="F30" i="5"/>
  <c r="A9" i="4"/>
  <c r="F24" i="6"/>
  <c r="D24" i="6"/>
  <c r="B22" i="4"/>
  <c r="B9" i="4"/>
  <c r="B23" i="4"/>
  <c r="B13" i="4"/>
  <c r="B51" i="1"/>
  <c r="B50" i="1"/>
  <c r="B49" i="1"/>
  <c r="B48" i="1"/>
  <c r="B47" i="1"/>
  <c r="B46" i="1"/>
  <c r="B45" i="1"/>
  <c r="B44" i="1"/>
  <c r="B43" i="1"/>
  <c r="B42" i="1"/>
  <c r="B40" i="1"/>
  <c r="B39" i="1"/>
  <c r="B38" i="1"/>
  <c r="B37" i="1"/>
  <c r="B36" i="1"/>
  <c r="B34" i="1"/>
  <c r="B29" i="1"/>
  <c r="B26" i="1"/>
  <c r="B25" i="1"/>
  <c r="B23" i="1"/>
  <c r="B22" i="1"/>
  <c r="B21" i="1"/>
  <c r="B20" i="1"/>
  <c r="B19" i="1"/>
  <c r="B18" i="1"/>
  <c r="B17" i="1"/>
  <c r="B16" i="1"/>
  <c r="B15" i="1"/>
  <c r="B14" i="1"/>
  <c r="B13" i="1"/>
  <c r="B12" i="1"/>
  <c r="B11" i="1"/>
  <c r="B10" i="1"/>
  <c r="B9" i="1"/>
  <c r="B8" i="1"/>
  <c r="B7" i="1"/>
  <c r="B6" i="1"/>
  <c r="B4" i="1"/>
  <c r="B3" i="1"/>
  <c r="B2" i="1"/>
  <c r="G10" i="5"/>
  <c r="F10" i="5"/>
  <c r="D5" i="5"/>
  <c r="D4" i="5"/>
  <c r="B2" i="5"/>
  <c r="B2" i="4"/>
  <c r="B3" i="2"/>
  <c r="B31" i="1"/>
  <c r="O15" i="5"/>
  <c r="B36" i="2"/>
  <c r="L24" i="5"/>
  <c r="O14" i="5"/>
  <c r="B9" i="8" l="1"/>
  <c r="B13" i="8"/>
  <c r="O46" i="5"/>
  <c r="O54" i="5" s="1"/>
  <c r="B15" i="8"/>
  <c r="L46" i="5"/>
  <c r="L54" i="5" s="1"/>
  <c r="R46" i="5"/>
  <c r="R54" i="5" s="1"/>
  <c r="O34" i="5"/>
  <c r="O36" i="5" s="1"/>
  <c r="O37" i="5" s="1"/>
  <c r="B19" i="2"/>
  <c r="B69" i="8"/>
  <c r="B20" i="2"/>
  <c r="B19" i="8"/>
  <c r="B28" i="8"/>
  <c r="B41" i="8"/>
  <c r="B5" i="8"/>
  <c r="B14" i="8"/>
  <c r="R53" i="5"/>
  <c r="B24" i="8"/>
  <c r="O61" i="5"/>
  <c r="B52" i="8"/>
  <c r="B32" i="1"/>
  <c r="I46" i="5"/>
  <c r="I54" i="5" s="1"/>
  <c r="L27" i="5"/>
  <c r="L52" i="5"/>
  <c r="E37" i="9"/>
  <c r="N86" i="9"/>
  <c r="N90" i="9" s="1"/>
  <c r="B46" i="8"/>
  <c r="B26" i="8"/>
  <c r="O52" i="5"/>
  <c r="B27" i="8"/>
  <c r="O53" i="5"/>
  <c r="B30" i="1"/>
  <c r="B27" i="2"/>
  <c r="B37" i="8"/>
  <c r="I28" i="9"/>
  <c r="D30" i="9"/>
  <c r="I15" i="9"/>
  <c r="K38" i="9"/>
  <c r="E30" i="9"/>
  <c r="D33" i="9" s="1"/>
  <c r="N72" i="9"/>
  <c r="N73" i="9" s="1"/>
  <c r="N74" i="9" s="1"/>
  <c r="I61" i="5"/>
  <c r="L53" i="5"/>
  <c r="B35" i="8"/>
  <c r="B36" i="8"/>
  <c r="D24" i="9"/>
  <c r="D4" i="9"/>
  <c r="E36" i="9"/>
  <c r="L61" i="5"/>
  <c r="I53" i="5"/>
  <c r="R61" i="5"/>
  <c r="E13" i="9"/>
  <c r="D13" i="9"/>
  <c r="D10" i="9"/>
  <c r="B56" i="8"/>
  <c r="B15" i="2"/>
  <c r="O58" i="5" l="1"/>
  <c r="O59" i="5" s="1"/>
  <c r="R58" i="5"/>
  <c r="R59" i="5" s="1"/>
  <c r="L8" i="5"/>
  <c r="L15" i="5" s="1"/>
  <c r="B24" i="1"/>
  <c r="B54" i="8"/>
  <c r="B67" i="8"/>
  <c r="B68" i="8"/>
  <c r="R52" i="5"/>
  <c r="B17" i="8"/>
  <c r="B18" i="8"/>
  <c r="B29" i="2"/>
  <c r="L21" i="5"/>
  <c r="L22" i="5" s="1"/>
  <c r="B55" i="8"/>
  <c r="B33" i="1"/>
  <c r="L31" i="5"/>
  <c r="L32" i="5" s="1"/>
  <c r="L33" i="5" s="1"/>
  <c r="I58" i="5"/>
  <c r="I59" i="5" s="1"/>
  <c r="I52" i="5"/>
  <c r="L58" i="5"/>
  <c r="L59" i="5" s="1"/>
  <c r="E33" i="9"/>
  <c r="E38" i="9" s="1"/>
  <c r="S56" i="9"/>
  <c r="S57" i="9" s="1"/>
  <c r="F37" i="9" s="1"/>
  <c r="L11" i="5" l="1"/>
  <c r="L12" i="5" s="1"/>
  <c r="L14" i="5"/>
  <c r="L34" i="5"/>
  <c r="L37" i="5" s="1"/>
  <c r="O19" i="5" l="1"/>
  <c r="O20" i="5"/>
  <c r="B23" i="2" l="1"/>
  <c r="B48" i="8"/>
  <c r="B28" i="2"/>
  <c r="B53" i="8"/>
</calcChain>
</file>

<file path=xl/sharedStrings.xml><?xml version="1.0" encoding="utf-8"?>
<sst xmlns="http://schemas.openxmlformats.org/spreadsheetml/2006/main" count="1096" uniqueCount="749">
  <si>
    <t>Surface Hole Size (in)</t>
  </si>
  <si>
    <t>Prod Hole Size (in)</t>
  </si>
  <si>
    <t>OH Excess Factor</t>
  </si>
  <si>
    <t>Prod csg (size/wt)</t>
  </si>
  <si>
    <t>Niobrara TOC (ft)</t>
  </si>
  <si>
    <t>SUSX/SH BOC (ft)</t>
  </si>
  <si>
    <t>SUSX/SH TOC (ft)</t>
  </si>
  <si>
    <t>8-5/8", 24#</t>
  </si>
  <si>
    <t>Name</t>
  </si>
  <si>
    <t>Date</t>
  </si>
  <si>
    <t>Cell Phone Number</t>
  </si>
  <si>
    <t>Well Name</t>
  </si>
  <si>
    <t>API #</t>
  </si>
  <si>
    <t>WINS #</t>
  </si>
  <si>
    <t>GENERAL INPUTS</t>
  </si>
  <si>
    <t>WELL INPUTS</t>
  </si>
  <si>
    <t>FHM (ft)</t>
  </si>
  <si>
    <t>Sussex Top (ft)</t>
  </si>
  <si>
    <t>Sussex Base (ft)</t>
  </si>
  <si>
    <t>Shannon Base (ft)</t>
  </si>
  <si>
    <t>Niobrara Top (ft)</t>
  </si>
  <si>
    <t>QUESTIONS?</t>
  </si>
  <si>
    <t>Age of well (yr)</t>
  </si>
  <si>
    <t>Any squeeze holes? (Y/N)</t>
  </si>
  <si>
    <t>Gyro Found (Y/N)</t>
  </si>
  <si>
    <t>Elizabeth Hunt</t>
  </si>
  <si>
    <t>808-594-3092</t>
  </si>
  <si>
    <t>PLUG and ABANDONMENT PROCEDURE</t>
  </si>
  <si>
    <t>Surface Casing Shoe (ft)</t>
  </si>
  <si>
    <t>Niobrara Cement Vol (sx)</t>
  </si>
  <si>
    <t>SUSX/SH Cement Vol (sx)</t>
  </si>
  <si>
    <t>Stub Plug Cement Vol (sx)</t>
  </si>
  <si>
    <t>Surface Casing (size/wt)</t>
  </si>
  <si>
    <t>Tubing OD (in)</t>
  </si>
  <si>
    <t>Tubing Set Depth (ft)</t>
  </si>
  <si>
    <t>Provide 48 hour notice to COGCC prior to rig up per request on approved Form 6 (e.g. call field coordinator, submit Form 42, etc.).  Notify Automation Removal Group at least 24 hours prior to rig move.  Request they catch and remove plunger, isolate production equipment, and remove any automation prior to rig MIRU.</t>
  </si>
  <si>
    <t>Description</t>
  </si>
  <si>
    <t>Step</t>
  </si>
  <si>
    <t>OD</t>
  </si>
  <si>
    <t>4.7#, J-55, EUE</t>
  </si>
  <si>
    <t>wt, grade, upset</t>
  </si>
  <si>
    <t>GEOLOGY INPUTS</t>
  </si>
  <si>
    <t xml:space="preserve">API: </t>
  </si>
  <si>
    <t xml:space="preserve">ELEVATION: </t>
  </si>
  <si>
    <t>QTR-QTR:</t>
  </si>
  <si>
    <t xml:space="preserve">WELL NAME: </t>
  </si>
  <si>
    <t xml:space="preserve">GROUND LEVEL: </t>
  </si>
  <si>
    <t>SECTION:</t>
  </si>
  <si>
    <t>COUNTY:</t>
  </si>
  <si>
    <t>WELD</t>
  </si>
  <si>
    <t>MD:</t>
  </si>
  <si>
    <t>TWNSHIP:</t>
  </si>
  <si>
    <t>3N</t>
  </si>
  <si>
    <t>LATITUDE:</t>
  </si>
  <si>
    <t>PBMD:</t>
  </si>
  <si>
    <t>RANGE:</t>
  </si>
  <si>
    <t>LONGITUDE:</t>
  </si>
  <si>
    <t>CREATED BY:</t>
  </si>
  <si>
    <t>E. HUNT</t>
  </si>
  <si>
    <t>DATE:</t>
  </si>
  <si>
    <t>Existing</t>
  </si>
  <si>
    <t>DATUM: RKB</t>
  </si>
  <si>
    <t>Proposed</t>
  </si>
  <si>
    <t>Hole Size/Depth</t>
  </si>
  <si>
    <t>Cmt to Surf</t>
  </si>
  <si>
    <t>Surface Casing</t>
  </si>
  <si>
    <t>TOC</t>
  </si>
  <si>
    <t>BOC inside csg</t>
  </si>
  <si>
    <t>Sussex</t>
  </si>
  <si>
    <t>Top</t>
  </si>
  <si>
    <t>Base</t>
  </si>
  <si>
    <t>Shannon</t>
  </si>
  <si>
    <t>COLOR KEY</t>
  </si>
  <si>
    <t>Niobrara Top</t>
  </si>
  <si>
    <t>Existing Cement</t>
  </si>
  <si>
    <t>New CICR</t>
  </si>
  <si>
    <t>Codell Perfs</t>
  </si>
  <si>
    <t>Existing CICR</t>
  </si>
  <si>
    <t>New CIBP</t>
  </si>
  <si>
    <t>Existing CIBP</t>
  </si>
  <si>
    <t>New Cement</t>
  </si>
  <si>
    <t>Sand Plug</t>
  </si>
  <si>
    <t>Existing Mud</t>
  </si>
  <si>
    <t>SUSX/SH Productive? (Y/N)</t>
  </si>
  <si>
    <t>Cut Casing Depth (ft)</t>
  </si>
  <si>
    <t>Stub Plug BOC (ft)</t>
  </si>
  <si>
    <t>Stub Plug TOC Form6 (ft)</t>
  </si>
  <si>
    <t>Stub Plug TOC Calc (ft)</t>
  </si>
  <si>
    <t>Instruct cementing and wireline contractors to e-mail copies of all job logs/job summaries to rscDJVendors@anadarko.com within 24 hours of completion of the job.</t>
  </si>
  <si>
    <t>Excavation crew to notify One Call to clear excavation area around wellhead and for flow lines.</t>
  </si>
  <si>
    <t>Excavate hole around surface casing enough to allow welder to cut casing a minimum 5’ below ground level.</t>
  </si>
  <si>
    <t>Welder cut casing minimum 5' below ground level.</t>
  </si>
  <si>
    <t>Spot weld on steel marker plate.  Marker should contain Well name, Well number, legal location (1/4 1/4 descriptor) and API number.</t>
  </si>
  <si>
    <t>Obtain GPS location data as per COGCC Rule 215 and send to rscDJVendors@anadarko.com.</t>
  </si>
  <si>
    <t>Properly abandon flow lines per Rule 1103.  File electronic Form 42 once abandonment is complete.</t>
  </si>
  <si>
    <t>Back fill hole with fill.  Clean location, and level.</t>
  </si>
  <si>
    <t>Submit Form 6 to COGCC ensuring to provide 'As performed' WBD identifying operations completed.</t>
  </si>
  <si>
    <t>Gyro Date:</t>
  </si>
  <si>
    <t>3.25#,</t>
  </si>
  <si>
    <t>2.3#,</t>
  </si>
  <si>
    <t>CBL Found (Y/N)</t>
  </si>
  <si>
    <t>Packer Downhole? (Y/N)</t>
  </si>
  <si>
    <t>Packer Depth (ft)</t>
  </si>
  <si>
    <t xml:space="preserve">Upon RU, check and record bradenhead pressure. If bradenhead valve is not accessible, re-plumb so that valve is above GL. Blow down bradenhead and re-check pressure the next day. Repeat until pressure stays at 0 psi. </t>
  </si>
  <si>
    <t>Supervisor submit paper copies of all invoices, logs, and reports to VWP Engineering Specialist.</t>
  </si>
  <si>
    <t xml:space="preserve">Verify COAs before RU. </t>
  </si>
  <si>
    <t>Niobrara CIBP / BOC (ft)</t>
  </si>
  <si>
    <t>Who Drilled Well?</t>
  </si>
  <si>
    <t>Details of Integrity Issues?</t>
  </si>
  <si>
    <t xml:space="preserve">ND BOP. ND TH. Un-land casing using a casing spear, not a lifting sub. Rig max pull shall be 100,000#. Max pull over string weight shall be 50,000#. If unable to unland, contact Engineering. </t>
  </si>
  <si>
    <t>Straight or Deviated Hole?</t>
  </si>
  <si>
    <t>J Sand CIBP (ft)</t>
  </si>
  <si>
    <t>Collar Above JSand CIBP (ft)</t>
  </si>
  <si>
    <t>Collar Below JSand CIBP (ft)</t>
  </si>
  <si>
    <t>Collar Above Nio CIBP (ft)</t>
  </si>
  <si>
    <t>Collar Below Nio CIBP (ft)</t>
  </si>
  <si>
    <t>Bradenhead Issues? (Y/N)</t>
  </si>
  <si>
    <t>TOC (from CBL)</t>
  </si>
  <si>
    <t>TOC inside csg</t>
  </si>
  <si>
    <t>PRODUCTION CASING</t>
  </si>
  <si>
    <t>SURFACE CASING</t>
  </si>
  <si>
    <t>TUBING</t>
  </si>
  <si>
    <t>2-7/8"</t>
  </si>
  <si>
    <t>5-1/2", 23#</t>
  </si>
  <si>
    <t>9-5/8", 43#</t>
  </si>
  <si>
    <t>2-3/8"</t>
  </si>
  <si>
    <t>5-1/2", 17#</t>
  </si>
  <si>
    <t>2-1/16"</t>
  </si>
  <si>
    <t>5-1/2", 15.5#</t>
  </si>
  <si>
    <t>7", 23#</t>
  </si>
  <si>
    <t>1.66"</t>
  </si>
  <si>
    <t>4-1/2", 11.6#</t>
  </si>
  <si>
    <t>4-1/2", 10.5#</t>
  </si>
  <si>
    <t>3-1/2", 12.95#</t>
  </si>
  <si>
    <t>3-1/2", 9.3#</t>
  </si>
  <si>
    <t>3-1/2", 7.7#</t>
  </si>
  <si>
    <t>2-7/8", 6.5#</t>
  </si>
  <si>
    <t>Surf. Csg.</t>
  </si>
  <si>
    <t>Prod. Csg.</t>
  </si>
  <si>
    <t>Prod. Hole</t>
  </si>
  <si>
    <t>Tubular</t>
  </si>
  <si>
    <t>Well Name:</t>
  </si>
  <si>
    <t>Job Type:</t>
  </si>
  <si>
    <t>Well production does not justify well work.</t>
  </si>
  <si>
    <t>Deadline:</t>
  </si>
  <si>
    <t>WINS:</t>
  </si>
  <si>
    <t>AFE Number:</t>
  </si>
  <si>
    <t>Route/ Foreman:</t>
  </si>
  <si>
    <t>Engineer:</t>
  </si>
  <si>
    <t>STIP:</t>
  </si>
  <si>
    <t>Map:</t>
  </si>
  <si>
    <t>Yes</t>
  </si>
  <si>
    <t>CBL Found:</t>
  </si>
  <si>
    <t>Daily Reports Reviewed:</t>
  </si>
  <si>
    <t>OW Research:</t>
  </si>
  <si>
    <t>State Website Research:</t>
  </si>
  <si>
    <t>Complete</t>
  </si>
  <si>
    <t>OW WBD:</t>
  </si>
  <si>
    <t>Prog Cover Sheet</t>
  </si>
  <si>
    <t>P&amp;A Procedure:</t>
  </si>
  <si>
    <t>P&amp;A WBD:</t>
  </si>
  <si>
    <t>Form 6 Status:</t>
  </si>
  <si>
    <t>Sussex Production</t>
  </si>
  <si>
    <t>Shannon Production</t>
  </si>
  <si>
    <t>WINS#</t>
  </si>
  <si>
    <t>API#</t>
  </si>
  <si>
    <t>Nio Balanced Plug Cement Calculations</t>
  </si>
  <si>
    <t>SUSX Balanced Plug Cement Calculations</t>
  </si>
  <si>
    <t>Casing ID (in)</t>
  </si>
  <si>
    <t>Production Hole (in)</t>
  </si>
  <si>
    <t>Capacity (cf/ft)</t>
  </si>
  <si>
    <t>Common Pipe Sizes</t>
  </si>
  <si>
    <t>Length (ft)</t>
  </si>
  <si>
    <t>String</t>
  </si>
  <si>
    <t>Tubular Nominal Dia. (in)</t>
  </si>
  <si>
    <t>Tubular Weight (lb/ft)</t>
  </si>
  <si>
    <t>OD (in)</t>
  </si>
  <si>
    <t>ID (in)</t>
  </si>
  <si>
    <t>Disp. (cf/ft)</t>
  </si>
  <si>
    <t>Cement Yield (cf/sk)</t>
  </si>
  <si>
    <t>SC</t>
  </si>
  <si>
    <t>Volume (cf)</t>
  </si>
  <si>
    <t>Sacks Cement</t>
  </si>
  <si>
    <t>PC</t>
  </si>
  <si>
    <t>Depth of plug (ft)</t>
  </si>
  <si>
    <t>Cement Disp. Vol (bbl)</t>
  </si>
  <si>
    <t>Stub Plug Cement Calculations</t>
  </si>
  <si>
    <t>Flush Volumes</t>
  </si>
  <si>
    <t>Stub ID (in)</t>
  </si>
  <si>
    <t>Work String in Stub</t>
  </si>
  <si>
    <t>Shoot-off Flush</t>
  </si>
  <si>
    <t>Stub Capacity (cf/ft)</t>
  </si>
  <si>
    <t>Stub Flush</t>
  </si>
  <si>
    <t>TBG</t>
  </si>
  <si>
    <t>Stub Length (ft)</t>
  </si>
  <si>
    <t>Stub Volume (cf)</t>
  </si>
  <si>
    <t>Open Hole</t>
  </si>
  <si>
    <t>Length of OH (ft)</t>
  </si>
  <si>
    <t>OH Capacity (cf/ft)</t>
  </si>
  <si>
    <t>Excess in OH (%)</t>
  </si>
  <si>
    <t>OH Volume w/ excess (cf)</t>
  </si>
  <si>
    <t>Surface Casing ID (in)</t>
  </si>
  <si>
    <t>Surface Csg Cap. (cf/ft)</t>
  </si>
  <si>
    <t>Surface Casing BOC (ft)</t>
  </si>
  <si>
    <t>TOC in SC (ft)</t>
  </si>
  <si>
    <t>Volume in SC (cf)</t>
  </si>
  <si>
    <t>Total Volume (cf)</t>
  </si>
  <si>
    <t>Totals</t>
  </si>
  <si>
    <t>PASTURE</t>
  </si>
  <si>
    <t>Last Name</t>
  </si>
  <si>
    <t>Full Name</t>
  </si>
  <si>
    <t>Abbr. Name</t>
  </si>
  <si>
    <t>Hasz</t>
  </si>
  <si>
    <t>Hunt</t>
  </si>
  <si>
    <t>Caravaggio</t>
  </si>
  <si>
    <t>Frantz</t>
  </si>
  <si>
    <t>Metzger</t>
  </si>
  <si>
    <t>Riebe</t>
  </si>
  <si>
    <t>Tran</t>
  </si>
  <si>
    <t>Alex Caravaggio</t>
  </si>
  <si>
    <t>Sabrina Frantz</t>
  </si>
  <si>
    <t>David Hasz</t>
  </si>
  <si>
    <t>Sterling Metzger</t>
  </si>
  <si>
    <t>Savanna Riebe</t>
  </si>
  <si>
    <t>Samantha Tran</t>
  </si>
  <si>
    <t>A. CARAVAGGIO</t>
  </si>
  <si>
    <t>S. FRANTZ</t>
  </si>
  <si>
    <t>D. HASZ</t>
  </si>
  <si>
    <t>S. METZGER</t>
  </si>
  <si>
    <t>S. RIEBE</t>
  </si>
  <si>
    <t>S. TRAN</t>
  </si>
  <si>
    <t>213-880-8119</t>
  </si>
  <si>
    <t>Phone</t>
  </si>
  <si>
    <t>970-515-1141</t>
  </si>
  <si>
    <t>970-371-8820</t>
  </si>
  <si>
    <t>330-605-2231</t>
  </si>
  <si>
    <t>970-714-0288</t>
  </si>
  <si>
    <t>832-540-0209</t>
  </si>
  <si>
    <t>8-5/8", 23#</t>
  </si>
  <si>
    <t>4-1/2", 12.6#</t>
  </si>
  <si>
    <t>Wt. (#/ft)</t>
  </si>
  <si>
    <t>TECHNICAL DETAILS OR COMMENTS:  ADD SEPERATE PAGE IF NECESSARY (STAGE CEMENT - STAGE TOOLS ETC.)</t>
  </si>
  <si>
    <t>Additional Plugging Information</t>
  </si>
  <si>
    <t>sacks in mouse hole</t>
  </si>
  <si>
    <t xml:space="preserve">Set  </t>
  </si>
  <si>
    <t xml:space="preserve"> sacks in rat hole</t>
  </si>
  <si>
    <t>Set</t>
  </si>
  <si>
    <t>No</t>
  </si>
  <si>
    <t>X</t>
  </si>
  <si>
    <t>Above Ground Dry Hole Marker:</t>
  </si>
  <si>
    <t>Cut four feet below ground level, weld on plate</t>
  </si>
  <si>
    <t xml:space="preserve">sacks at surface  </t>
  </si>
  <si>
    <t xml:space="preserve"> ft.</t>
  </si>
  <si>
    <t>ft. to</t>
  </si>
  <si>
    <t>sacks half in, half out surface casing from</t>
  </si>
  <si>
    <t xml:space="preserve"> </t>
  </si>
  <si>
    <t>CICR Depth</t>
  </si>
  <si>
    <t>Leave at least 100 ft. in casing</t>
  </si>
  <si>
    <t>sacks</t>
  </si>
  <si>
    <t>ft. with</t>
  </si>
  <si>
    <t>Perforate and squeeze at</t>
  </si>
  <si>
    <t>Plug Tagged</t>
  </si>
  <si>
    <t xml:space="preserve">Casing Type:  </t>
  </si>
  <si>
    <t xml:space="preserve"> ft. in</t>
  </si>
  <si>
    <t>sks cmt from</t>
  </si>
  <si>
    <t>Yes/No</t>
  </si>
  <si>
    <t>Casing, Open Hole, Annulus, Stub Plug</t>
  </si>
  <si>
    <t>sacks cmt on top. CIPB #4 Depth</t>
  </si>
  <si>
    <t>with</t>
  </si>
  <si>
    <t>CIBP #3: Depth</t>
  </si>
  <si>
    <t>sacks cmt on top. CIPB #2 Depth</t>
  </si>
  <si>
    <t>CIBP #1: Depth</t>
  </si>
  <si>
    <t>Plugging Procedure for Intent and Subsequent Report</t>
  </si>
  <si>
    <r>
      <t xml:space="preserve">Status
</t>
    </r>
    <r>
      <rPr>
        <b/>
        <sz val="8"/>
        <rFont val="Arial Narrow"/>
        <family val="2"/>
      </rPr>
      <t>CAL - CBL - VISU</t>
    </r>
  </si>
  <si>
    <t>Cement Top</t>
  </si>
  <si>
    <t>Cement Bottom</t>
  </si>
  <si>
    <t>Setting Depth</t>
  </si>
  <si>
    <t>Weight per ft</t>
  </si>
  <si>
    <t>Size of Casing
Fractions</t>
  </si>
  <si>
    <t>Size of Hole
Fractions</t>
  </si>
  <si>
    <t>All lines must be completed for the Casing History.  The only choices available are listed to the right.</t>
  </si>
  <si>
    <t>Casing History</t>
  </si>
  <si>
    <t>(None, Retainer/Squeezed, BP/Cement Top, Bridge Plug, Cement Squeezed, BP/Squeezed)</t>
  </si>
  <si>
    <t>Plug Depth</t>
  </si>
  <si>
    <t>Method of Isolation</t>
  </si>
  <si>
    <t>Date Abandoned</t>
  </si>
  <si>
    <t>Perforations - Bottom</t>
  </si>
  <si>
    <t>Perforations - Top</t>
  </si>
  <si>
    <t>Formation</t>
  </si>
  <si>
    <t>Current and Previously Abandoned Zones</t>
  </si>
  <si>
    <t xml:space="preserve"> Details:</t>
  </si>
  <si>
    <t xml:space="preserve">    If yes, explain details below</t>
  </si>
  <si>
    <t xml:space="preserve"> Wellbore has Uncemented Casing Leaks:</t>
  </si>
  <si>
    <t>If yes, explain details below</t>
  </si>
  <si>
    <t xml:space="preserve"> Fish in Hole:</t>
  </si>
  <si>
    <t>Estimated Depth:</t>
  </si>
  <si>
    <t xml:space="preserve"> Casing to be Pulled:</t>
  </si>
  <si>
    <t>Describe if Other</t>
  </si>
  <si>
    <t xml:space="preserve"> Reason for Abandonment:</t>
  </si>
  <si>
    <t xml:space="preserve">  Notice of Intent to Abandon</t>
  </si>
  <si>
    <t>Well Number:</t>
  </si>
  <si>
    <t xml:space="preserve"> Well Name:</t>
  </si>
  <si>
    <t>API Number</t>
  </si>
  <si>
    <t>80217</t>
  </si>
  <si>
    <t>Zip:</t>
  </si>
  <si>
    <t>CO</t>
  </si>
  <si>
    <t xml:space="preserve">State:  </t>
  </si>
  <si>
    <t>Denver</t>
  </si>
  <si>
    <t xml:space="preserve"> City:</t>
  </si>
  <si>
    <t>P. O. Box 173779</t>
  </si>
  <si>
    <t xml:space="preserve"> Address:</t>
  </si>
  <si>
    <t>Kerr-McGee Oil &amp; Gas Onshore LP</t>
  </si>
  <si>
    <t xml:space="preserve"> Name of Operator:</t>
  </si>
  <si>
    <t xml:space="preserve">  Contact Name &amp; Telephone </t>
  </si>
  <si>
    <t>47120</t>
  </si>
  <si>
    <t xml:space="preserve"> COGCC Operator Number:</t>
  </si>
  <si>
    <t>Additional Information Pertinent to Abandonment</t>
  </si>
  <si>
    <t>Proposed WBD</t>
  </si>
  <si>
    <t>Proposed Procedure</t>
  </si>
  <si>
    <t>WELL ABANDONMENT REPORT</t>
  </si>
  <si>
    <t>Attachments:</t>
  </si>
  <si>
    <t>1120 Lincoln Street, Suite 801, Denver Colorado 80203   (303) 894-2100  Fax (303) 894-2109</t>
  </si>
  <si>
    <t>Oil and Gas Conservation Commission</t>
  </si>
  <si>
    <t>48 hour notice required</t>
  </si>
  <si>
    <t>State of Colorado</t>
  </si>
  <si>
    <t>7", 17#</t>
  </si>
  <si>
    <t>Last Calculated</t>
  </si>
  <si>
    <t>8-5/8", 28#</t>
  </si>
  <si>
    <t>2-7/8", 8.7#</t>
  </si>
  <si>
    <t>2-7/8", 7.9#</t>
  </si>
  <si>
    <t>7", 36#</t>
  </si>
  <si>
    <t>9-5/8", 36#</t>
  </si>
  <si>
    <t>Length in S.C. (ft)</t>
  </si>
  <si>
    <t>Truby</t>
  </si>
  <si>
    <t>Alex Truby</t>
  </si>
  <si>
    <t>A. TRUBY</t>
  </si>
  <si>
    <t>281-620-4788</t>
  </si>
  <si>
    <t>Roland</t>
  </si>
  <si>
    <t>Jacob Roland</t>
  </si>
  <si>
    <t>J. ROLAND</t>
  </si>
  <si>
    <t>307-315-3626</t>
  </si>
  <si>
    <t>Sloan</t>
  </si>
  <si>
    <t>Trey Sloan</t>
  </si>
  <si>
    <t>T. SLOAN</t>
  </si>
  <si>
    <t>936-525-8393</t>
  </si>
  <si>
    <t>Jones</t>
  </si>
  <si>
    <t>Jacob Jones</t>
  </si>
  <si>
    <t>J. JONES</t>
  </si>
  <si>
    <t>918-534-6637</t>
  </si>
  <si>
    <t>Bailer Volume (sx)</t>
  </si>
  <si>
    <t>Cordaro</t>
  </si>
  <si>
    <t>Chris Cordaro</t>
  </si>
  <si>
    <t>C. CORDARO</t>
  </si>
  <si>
    <t>432-209-1371</t>
  </si>
  <si>
    <t>ANADARKO PETROLEUM CORPORATION</t>
  </si>
  <si>
    <t>Please contact your area engineer with any questions concerning this procedure.</t>
  </si>
  <si>
    <t>Doyle</t>
  </si>
  <si>
    <t>Jensine Doyle</t>
  </si>
  <si>
    <t>J. DOYLE</t>
  </si>
  <si>
    <t>325-656-1680</t>
  </si>
  <si>
    <t>Brown</t>
  </si>
  <si>
    <t>Berkeley Brown</t>
  </si>
  <si>
    <t>B. BROWN</t>
  </si>
  <si>
    <t>970-515-1724</t>
  </si>
  <si>
    <t>Martin</t>
  </si>
  <si>
    <t>Clark Martin</t>
  </si>
  <si>
    <t>C. MARTIN</t>
  </si>
  <si>
    <t>970-371-4601</t>
  </si>
  <si>
    <t>Minimum Distance (ft)</t>
  </si>
  <si>
    <r>
      <t>Fired Vessels</t>
    </r>
    <r>
      <rPr>
        <b/>
        <vertAlign val="superscript"/>
        <sz val="11"/>
        <color theme="1"/>
        <rFont val="Calibri"/>
        <family val="2"/>
        <scheme val="minor"/>
      </rPr>
      <t>4</t>
    </r>
  </si>
  <si>
    <t>Pressure Vessels</t>
  </si>
  <si>
    <t>Storage</t>
  </si>
  <si>
    <t>Load Connections</t>
  </si>
  <si>
    <t>Compressors</t>
  </si>
  <si>
    <t>Engines</t>
  </si>
  <si>
    <r>
      <t>Motors</t>
    </r>
    <r>
      <rPr>
        <b/>
        <vertAlign val="superscript"/>
        <sz val="11"/>
        <color theme="1"/>
        <rFont val="Calibri"/>
        <family val="2"/>
        <scheme val="minor"/>
      </rPr>
      <t>3</t>
    </r>
  </si>
  <si>
    <t>Oil &amp; Gas Wells</t>
  </si>
  <si>
    <r>
      <t>Electrical Controls</t>
    </r>
    <r>
      <rPr>
        <b/>
        <vertAlign val="superscript"/>
        <sz val="11"/>
        <color theme="1"/>
        <rFont val="Calibri"/>
        <family val="2"/>
        <scheme val="minor"/>
      </rPr>
      <t>3</t>
    </r>
  </si>
  <si>
    <t>Flares</t>
  </si>
  <si>
    <r>
      <t>20</t>
    </r>
    <r>
      <rPr>
        <vertAlign val="superscript"/>
        <sz val="11"/>
        <color theme="1"/>
        <rFont val="Calibri"/>
        <family val="2"/>
        <scheme val="minor"/>
      </rPr>
      <t>6</t>
    </r>
  </si>
  <si>
    <r>
      <t>150</t>
    </r>
    <r>
      <rPr>
        <vertAlign val="superscript"/>
        <sz val="11"/>
        <color theme="1"/>
        <rFont val="Calibri"/>
        <family val="2"/>
        <scheme val="minor"/>
      </rPr>
      <t>5</t>
    </r>
  </si>
  <si>
    <t>-</t>
  </si>
  <si>
    <r>
      <t>25</t>
    </r>
    <r>
      <rPr>
        <vertAlign val="superscript"/>
        <sz val="11"/>
        <color theme="1"/>
        <rFont val="Calibri"/>
        <family val="2"/>
        <scheme val="minor"/>
      </rPr>
      <t>2</t>
    </r>
  </si>
  <si>
    <t>100</t>
  </si>
  <si>
    <r>
      <t>100</t>
    </r>
    <r>
      <rPr>
        <vertAlign val="superscript"/>
        <sz val="11"/>
        <color theme="1"/>
        <rFont val="Calibri"/>
        <family val="2"/>
        <scheme val="minor"/>
      </rPr>
      <t>1</t>
    </r>
  </si>
  <si>
    <r>
      <t>100</t>
    </r>
    <r>
      <rPr>
        <vertAlign val="superscript"/>
        <sz val="11"/>
        <color theme="1"/>
        <rFont val="Calibri"/>
        <family val="2"/>
        <scheme val="minor"/>
      </rPr>
      <t>7</t>
    </r>
  </si>
  <si>
    <t>Notes:</t>
  </si>
  <si>
    <t>A circulating pump engine or motor or a vapor recovery system may be located 50' from storage or 10' outside the firewall, whichever is greater.</t>
  </si>
  <si>
    <t>Scrubbers may be located near the compressor and its driver.</t>
  </si>
  <si>
    <t>Electric motors and controls shall meet or exceed the requirements for an area electrical classification per API RP500 and NFPA 70.</t>
  </si>
  <si>
    <t>Stabilizers with heating equipment, glycol absorbers and reconcentrators, and packaged heater and separator may be considered as a single fired vessel and spaced accordingly.</t>
  </si>
  <si>
    <t>A fired vessel may be located as close as 100' to a well if equipped with a flame arrestor.</t>
  </si>
  <si>
    <t>Indirect heaters and heaters for non-flammable substances may be grouped at a closer spacing.</t>
  </si>
  <si>
    <t>The spacing between Wells and Electrical Controls may be reduced to 25' if operationally necessary. If necessary, the Controls should be a minimum of 4' above grade.</t>
  </si>
  <si>
    <t>These distances are intended to apply to usual situations of space and terrain. Where space is a premium, Facilities must be spaced in consideration of risk.</t>
  </si>
  <si>
    <t>Prepare location for base beam equipped rig.  Install perimeter fence as needed.</t>
  </si>
  <si>
    <t>Borden</t>
  </si>
  <si>
    <t>Lauren Borden</t>
  </si>
  <si>
    <t>L. BORDEN</t>
  </si>
  <si>
    <t>970-515-1548</t>
  </si>
  <si>
    <t>McDaniel</t>
  </si>
  <si>
    <t>David McDaniel</t>
  </si>
  <si>
    <t>D. MCDANIEL</t>
  </si>
  <si>
    <t>505-635-5486</t>
  </si>
  <si>
    <t>Prod Casing OD (in)</t>
  </si>
  <si>
    <t>Prod Casing ID (in)</t>
  </si>
  <si>
    <t>Prod Casing Cap (cf/ft)</t>
  </si>
  <si>
    <t>Annular Capacity (cf/ft)</t>
  </si>
  <si>
    <t>Depth of CICR (ft)</t>
  </si>
  <si>
    <t>Excess in OH(%)</t>
  </si>
  <si>
    <t>Volume on top of CICR (bbl)</t>
  </si>
  <si>
    <t>TOC in Casing (ft)</t>
  </si>
  <si>
    <t>Volume in Csg below CICR (cf)</t>
  </si>
  <si>
    <t>Volume in OH(cf)</t>
  </si>
  <si>
    <t>Additional Procedure Steps if Needed</t>
  </si>
  <si>
    <t>Squeeze Cement Calculations for Bradenhead Issues (If Needed)</t>
  </si>
  <si>
    <t>Squeeze Cement Calculations for Niobrara (If Needed)</t>
  </si>
  <si>
    <t>Squeeze Cement Calculations for Sussux / Shannon (If Needed)</t>
  </si>
  <si>
    <t>Sacks Squeezed</t>
  </si>
  <si>
    <t>Sacks on Top of CICR</t>
  </si>
  <si>
    <t>Total Sacks Cement (Calc'd)</t>
  </si>
  <si>
    <t xml:space="preserve">* Rounded up to the nearest 5 sacks </t>
  </si>
  <si>
    <t xml:space="preserve">* Rounded up to the nearest 10 sacks </t>
  </si>
  <si>
    <t>Deepest CIBP (ft)</t>
  </si>
  <si>
    <t>Mechanical Cutter</t>
  </si>
  <si>
    <t>BOC (from CBL)</t>
  </si>
  <si>
    <t>Company</t>
  </si>
  <si>
    <t>Inside or Outside Casing</t>
  </si>
  <si>
    <t>Blend name from Company</t>
  </si>
  <si>
    <r>
      <t>Open Wells "</t>
    </r>
    <r>
      <rPr>
        <b/>
        <sz val="11"/>
        <color theme="1"/>
        <rFont val="Calibri"/>
        <family val="2"/>
        <scheme val="minor"/>
      </rPr>
      <t>Description</t>
    </r>
    <r>
      <rPr>
        <sz val="11"/>
        <color theme="1"/>
        <rFont val="Calibri"/>
        <family val="2"/>
        <scheme val="minor"/>
      </rPr>
      <t>"</t>
    </r>
  </si>
  <si>
    <r>
      <t>Cement Base/Open Wells "</t>
    </r>
    <r>
      <rPr>
        <b/>
        <sz val="11"/>
        <color theme="1"/>
        <rFont val="Calibri"/>
        <family val="2"/>
        <scheme val="minor"/>
      </rPr>
      <t>Class</t>
    </r>
    <r>
      <rPr>
        <sz val="11"/>
        <color theme="1"/>
        <rFont val="Calibri"/>
        <family val="2"/>
        <scheme val="minor"/>
      </rPr>
      <t>"</t>
    </r>
  </si>
  <si>
    <t>Density</t>
  </si>
  <si>
    <t>Yield</t>
  </si>
  <si>
    <t>Recommended  Temperature</t>
  </si>
  <si>
    <t>Approximate Depth</t>
  </si>
  <si>
    <t>Schlumberger</t>
  </si>
  <si>
    <t>Inside Casing Only</t>
  </si>
  <si>
    <t>Nio Plug - 15.8#</t>
  </si>
  <si>
    <t>SLB Class G</t>
  </si>
  <si>
    <t>Class G</t>
  </si>
  <si>
    <t>190 – 220 F</t>
  </si>
  <si>
    <t>6500 – 7500 ft</t>
  </si>
  <si>
    <t>Sussex Plug - 15.8#</t>
  </si>
  <si>
    <t>135 – 165 F</t>
  </si>
  <si>
    <t>3800 – 4800 ft</t>
  </si>
  <si>
    <t>Fox Hills Plug  - 15.8#</t>
  </si>
  <si>
    <t>80 – 95 F</t>
  </si>
  <si>
    <t>0 – 2500 ft</t>
  </si>
  <si>
    <t>Squeeze Outside Casing or Stub</t>
  </si>
  <si>
    <t>Nio Squeeze</t>
  </si>
  <si>
    <t>SLB-Class G</t>
  </si>
  <si>
    <t>Thin Squeeze</t>
  </si>
  <si>
    <t>80 – 90 F</t>
  </si>
  <si>
    <t>Conventional Stub</t>
  </si>
  <si>
    <t>SLB-Conven. Stub Plug 14#</t>
  </si>
  <si>
    <t>Fox Hills Squeeze/GASBLOK Stub</t>
  </si>
  <si>
    <t xml:space="preserve">SLB-GASBLOK </t>
  </si>
  <si>
    <t>Sussex Squeeze</t>
  </si>
  <si>
    <t>TXI</t>
  </si>
  <si>
    <t>115 – 130 F</t>
  </si>
  <si>
    <t>Cheetah Set</t>
  </si>
  <si>
    <t>SLB-Cheetah Set</t>
  </si>
  <si>
    <t>Proprietary</t>
  </si>
  <si>
    <t>80 F</t>
  </si>
  <si>
    <t>C&amp;J</t>
  </si>
  <si>
    <t>Thermal 35</t>
  </si>
  <si>
    <t>C&amp;J-Class G Thermal 35</t>
  </si>
  <si>
    <t xml:space="preserve">200 – 220 F </t>
  </si>
  <si>
    <t>5000 – 7500 ft</t>
  </si>
  <si>
    <t>Class G Neat (depths closer to surface)</t>
  </si>
  <si>
    <t>C&amp;J-Class G</t>
  </si>
  <si>
    <t>&lt; 160 F</t>
  </si>
  <si>
    <t>0 – 5000 ft</t>
  </si>
  <si>
    <t>50/50 POZ Mix (Nio Squeeze)</t>
  </si>
  <si>
    <t>50/50 POZ Mix</t>
  </si>
  <si>
    <t>Type III</t>
  </si>
  <si>
    <t>C&amp;J-Class C</t>
  </si>
  <si>
    <t>&lt; 120 F</t>
  </si>
  <si>
    <t>0 – 3000 ft</t>
  </si>
  <si>
    <t>Migraseal</t>
  </si>
  <si>
    <t>C&amp;J-Migraseal</t>
  </si>
  <si>
    <t>&lt; 110 F</t>
  </si>
  <si>
    <t>Right Angle Set (RSP)***</t>
  </si>
  <si>
    <t>C&amp;J-Right Angle Set</t>
  </si>
  <si>
    <t>&lt; 125 F</t>
  </si>
  <si>
    <t>12 # Blend</t>
  </si>
  <si>
    <t>C&amp;J-Sussex 12#</t>
  </si>
  <si>
    <t>&gt; 130 F</t>
  </si>
  <si>
    <t>3500 – 5000 ft</t>
  </si>
  <si>
    <t>12.5# Blend**</t>
  </si>
  <si>
    <t>BJ Services</t>
  </si>
  <si>
    <t>BJCem Plug</t>
  </si>
  <si>
    <t>BJCem-Class G</t>
  </si>
  <si>
    <t>Any</t>
  </si>
  <si>
    <t>BJCem-Type III</t>
  </si>
  <si>
    <t>80 – 130 F</t>
  </si>
  <si>
    <t>BJCem Plug - Gas Migration</t>
  </si>
  <si>
    <t>BJCem-Type III Gas Migration</t>
  </si>
  <si>
    <t>BJCem Squeeze</t>
  </si>
  <si>
    <t>BJCem Squeeze-Type III</t>
  </si>
  <si>
    <t>130 – 170 F</t>
  </si>
  <si>
    <t>3000 – 5000 ft</t>
  </si>
  <si>
    <t>BJCem Squeeze - Gas Migration</t>
  </si>
  <si>
    <t>BJCem Squeeze-Type III Gas Migration</t>
  </si>
  <si>
    <t>* depending on additives and Calcium Chloride % - these can be different</t>
  </si>
  <si>
    <t>Updated</t>
  </si>
  <si>
    <t>** The 12.5# has good results when the temperature is warmer than 136 degrees, but not below that temperature</t>
  </si>
  <si>
    <t>***Amount of Retarder to be used changes significantly with temperature and depth</t>
  </si>
  <si>
    <t>*Enter cement yield</t>
  </si>
  <si>
    <t>Cement Density (ppg)</t>
  </si>
  <si>
    <t>*Enter cement density</t>
  </si>
  <si>
    <t>SLB-TXI (w/ or w/o GASBLOK)</t>
  </si>
  <si>
    <t>2-3/8", 4.7#</t>
  </si>
  <si>
    <t>Cmt above CIBP (ft)</t>
  </si>
  <si>
    <t>Cmt above CIBP Volume (cf)</t>
  </si>
  <si>
    <t>* Rounded up to the nearest sack</t>
  </si>
  <si>
    <t>Cement on CIBP for Lower Stub Plug</t>
  </si>
  <si>
    <t>Lower Stub Plug Cement Calculations</t>
  </si>
  <si>
    <t>Length of Lower Stub (ft)</t>
  </si>
  <si>
    <t>Squeeze Job Procedure for Braden Head Issues</t>
  </si>
  <si>
    <t>Squeeze Job Procedure for Sussex/Shannon</t>
  </si>
  <si>
    <t>Squeeze Job Procedure for Niobrara</t>
  </si>
  <si>
    <t>Ideal Cut Casing Depth (ft)</t>
  </si>
  <si>
    <t>Two Part Stub Plug - Lower Plug</t>
  </si>
  <si>
    <t>CIBP #5: Depth</t>
  </si>
  <si>
    <t>sacks cmt on top. CIPB #6 Depth</t>
  </si>
  <si>
    <t>Set CIBP over the J Sand</t>
  </si>
  <si>
    <t>Set CIBP over a Deeper Formation</t>
  </si>
  <si>
    <t>Sx Cmt</t>
  </si>
  <si>
    <t>Sx Cmt: Stage 2  -  DV Tool @</t>
  </si>
  <si>
    <t>Production Casing</t>
  </si>
  <si>
    <t>Fox Hills Marker</t>
  </si>
  <si>
    <t>Water</t>
  </si>
  <si>
    <t>INPUT</t>
  </si>
  <si>
    <t>Max Bottom Hole Pressure</t>
  </si>
  <si>
    <t>Water Weight (ppg)</t>
  </si>
  <si>
    <t>=Bottom Hole Depth * Frac Gradient</t>
  </si>
  <si>
    <t>psi - Fracture Pressure</t>
  </si>
  <si>
    <t>Retainer</t>
  </si>
  <si>
    <t>Bottom Perforation Holes</t>
  </si>
  <si>
    <t>Estimated Fracture Gradient Ranges</t>
  </si>
  <si>
    <t xml:space="preserve">Full Column Hydrostatic Pressure </t>
  </si>
  <si>
    <t>Pump Rate (BPM)</t>
  </si>
  <si>
    <t>Full Water Column Hydrostatic Pressure</t>
  </si>
  <si>
    <t>=.052*density(ppg - 8.33 for fresh water)* depth</t>
  </si>
  <si>
    <t>psi - Full Water Hydrostatic</t>
  </si>
  <si>
    <t>Tubing Size</t>
  </si>
  <si>
    <t>2.375"</t>
  </si>
  <si>
    <t>Fox Hills</t>
  </si>
  <si>
    <t>Water Friction Factor (psi/ft)</t>
  </si>
  <si>
    <t>Average</t>
  </si>
  <si>
    <t xml:space="preserve">Formation </t>
  </si>
  <si>
    <t>Friction Pressure (see table below)</t>
  </si>
  <si>
    <t>=Pressure drop (at specific rate) * Depth to Cement Retainer</t>
  </si>
  <si>
    <t>psi - Friction Pressure loss for water at rate</t>
  </si>
  <si>
    <t>Fracture Gradient (psi/ft)</t>
  </si>
  <si>
    <t>Friction Factors - Fresh Water</t>
  </si>
  <si>
    <t>Pressure Drop (psi/ft)</t>
  </si>
  <si>
    <t>Max Surface Pressure with full water column</t>
  </si>
  <si>
    <t>=Max Bottom Hole Pressure - Water Hydrostatic + Friction Pressure</t>
  </si>
  <si>
    <t>psi - Treating/Circulating pressure max for water full columm at rate</t>
  </si>
  <si>
    <t>2.0625"</t>
  </si>
  <si>
    <t>2.875"</t>
  </si>
  <si>
    <t>Cement</t>
  </si>
  <si>
    <t>Cement Weight (ppg)</t>
  </si>
  <si>
    <t>bbls</t>
  </si>
  <si>
    <t>Full Cement Column Hydrostatic Pressure</t>
  </si>
  <si>
    <t>=.052*density(ppg)* depth</t>
  </si>
  <si>
    <t>psi - Full Cement Hydrostatic</t>
  </si>
  <si>
    <t>Tubing Capacity</t>
  </si>
  <si>
    <t>Cement Friction Factor (psi/ft)</t>
  </si>
  <si>
    <t>psi - Friction Pressure loss for cement at rate</t>
  </si>
  <si>
    <t>ID</t>
  </si>
  <si>
    <t>Friction Factors - Cement</t>
  </si>
  <si>
    <t>Max Surface Pressure with full cement column</t>
  </si>
  <si>
    <t>=Max Bottom Hole Pressure - Cement Hydrostatic + Friction Pressure</t>
  </si>
  <si>
    <t>psi - Treating pressure max for cement full columm at rate</t>
  </si>
  <si>
    <t>Job Pressures</t>
  </si>
  <si>
    <t>psi - Max Pressure prior to cement - with water</t>
  </si>
  <si>
    <t>psi - Max with full cement</t>
  </si>
  <si>
    <t>Water Hydrostatic</t>
  </si>
  <si>
    <t>Water Friction Factor</t>
  </si>
  <si>
    <t>Water Friction Pressure</t>
  </si>
  <si>
    <t>Cement hydro half way</t>
  </si>
  <si>
    <t>Cemen Friction half way</t>
  </si>
  <si>
    <t>Water hydro half way</t>
  </si>
  <si>
    <t>Water friction half way</t>
  </si>
  <si>
    <t>Water Hydrostatic Under Ret</t>
  </si>
  <si>
    <t># bbls to halfway</t>
  </si>
  <si>
    <t>Pump Rate (bpm)</t>
  </si>
  <si>
    <t>Work String and Pump Rate Assumptions</t>
  </si>
  <si>
    <t>Work String Tbg OD (in)</t>
  </si>
  <si>
    <t>Total Sacks Cement Enter In</t>
  </si>
  <si>
    <t>Sacks Below CICR &amp; Squeezed</t>
  </si>
  <si>
    <t>Hesitation Squeeze Cement Calculations
(If Needed)</t>
  </si>
  <si>
    <t>Bottom Perf (ft)</t>
  </si>
  <si>
    <t>Top Perf (ft)</t>
  </si>
  <si>
    <t>TOC Behind Casing (ft)</t>
  </si>
  <si>
    <t>Hesitation Squeeze Job</t>
  </si>
  <si>
    <t>*** WOC a minimum of 8 hours and monitor well for fluid migration. If gas migration still exists after wait, contact engineering.</t>
  </si>
  <si>
    <t>BH Circ Max P (psi)</t>
  </si>
  <si>
    <t>BH Sq Max P (psi)</t>
  </si>
  <si>
    <t>SUSX Circ Max P (psi)</t>
  </si>
  <si>
    <t>SUSX Sq Max P (psi)</t>
  </si>
  <si>
    <t>NB Circ Max P (psi)</t>
  </si>
  <si>
    <t>NB Sq Max P (psi)</t>
  </si>
  <si>
    <t>Hesitation Sq Max P (psi)</t>
  </si>
  <si>
    <t>Hesitation Circ Max P (psi)</t>
  </si>
  <si>
    <t>Height of Cement</t>
  </si>
  <si>
    <t>sx</t>
  </si>
  <si>
    <t>cf</t>
  </si>
  <si>
    <t>Max pump pressure</t>
  </si>
  <si>
    <t>Lookups</t>
  </si>
  <si>
    <t>Tubing Size (in)</t>
  </si>
  <si>
    <t>Total Cement to Pump (sx)</t>
  </si>
  <si>
    <t>Cement Yield (cf/sx)</t>
  </si>
  <si>
    <t>Total Cement Volumn (cf)</t>
  </si>
  <si>
    <t>Tubing Capacity (cf/ft)</t>
  </si>
  <si>
    <t>Casing Capacity (cf/ft)</t>
  </si>
  <si>
    <t>Total Volumn (cf)</t>
  </si>
  <si>
    <t>Volumn in Tubing (cf)</t>
  </si>
  <si>
    <t>Volumn in Casing (cf)</t>
  </si>
  <si>
    <t>Volumn of Cement Pumped</t>
  </si>
  <si>
    <t>Volumn of Water Pumped</t>
  </si>
  <si>
    <t>Total Volumn Pumped</t>
  </si>
  <si>
    <t>7", 26#</t>
  </si>
  <si>
    <t>2-1/16", 3.25#</t>
  </si>
  <si>
    <t>1-1/4", 2.3#</t>
  </si>
  <si>
    <t>1-1/2", 2.75#</t>
  </si>
  <si>
    <t>Size/Wt</t>
  </si>
  <si>
    <t>Capacity (bbl/ft)</t>
  </si>
  <si>
    <t>Casing Size/Wt (in/#)</t>
  </si>
  <si>
    <t>Cmt Vol Pumped in Tbg (cf)</t>
  </si>
  <si>
    <t>Cmt Vol Pumped in Csg (cf)</t>
  </si>
  <si>
    <t>Cmt Total Vol Pumped (cf)</t>
  </si>
  <si>
    <t>Cmt Vol Squeezed (cf)</t>
  </si>
  <si>
    <t>Cmt Vol Squeezed (sx)</t>
  </si>
  <si>
    <t>Cmt Vol Left in Tbg (cf)</t>
  </si>
  <si>
    <t>Cmt Vol Left in Tbg (bbls)</t>
  </si>
  <si>
    <t>Cmt Vol Left in Tbg (sx)</t>
  </si>
  <si>
    <t>Top of Cement Column (ft)</t>
  </si>
  <si>
    <t>Bottom of Cement Column (ft)</t>
  </si>
  <si>
    <t>Max Pump Pressure Calculations</t>
  </si>
  <si>
    <t>Squeeze Work Inputs</t>
  </si>
  <si>
    <t>Volumn Calculations</t>
  </si>
  <si>
    <t>Water Hydrostatic (psi)</t>
  </si>
  <si>
    <t>Water Friction (psi)</t>
  </si>
  <si>
    <t>Cmt Hydrostatic (psi)</t>
  </si>
  <si>
    <t>Cmt Friction (psi)</t>
  </si>
  <si>
    <t>Water Above Cmt Column</t>
  </si>
  <si>
    <t>Cement Column</t>
  </si>
  <si>
    <t>Water Below Cmt Column</t>
  </si>
  <si>
    <t>Total Cement Volumn (bbl)</t>
  </si>
  <si>
    <t>Cmt Pumped (bbls)</t>
  </si>
  <si>
    <t>Water Pumped (bbls)</t>
  </si>
  <si>
    <t>Max Pump psi</t>
  </si>
  <si>
    <t>Cmt Bottom (ft)</t>
  </si>
  <si>
    <t>Cmt Top (ft)</t>
  </si>
  <si>
    <t>Cmt Squeezed (sx)</t>
  </si>
  <si>
    <t>Cmt in  Tbg (bbls)</t>
  </si>
  <si>
    <t>Cmt in Tbg (sx)</t>
  </si>
  <si>
    <t>Cement Left Over CICR (bbls)</t>
  </si>
  <si>
    <t>CICR Depth (ft)</t>
  </si>
  <si>
    <t>Bottom Squeeze Holes (ft)</t>
  </si>
  <si>
    <t>Total bbls Pumped</t>
  </si>
  <si>
    <t>Increments as Squeeze is Pumped (bbls)</t>
  </si>
  <si>
    <t>Run a CCL/GR/CBL/VDL Log</t>
  </si>
  <si>
    <t>Forward logs to engineering and in addition to the normal handling of logs/job summaries, email copies of all cement job logs/job summaries and invoices to DJVendors@anadarko.com within 24 hours of job completion. Note that squeeze hole locations and cement volumes may vary depending on CBL results. May also run packer to test injection first.</t>
  </si>
  <si>
    <t>Milam</t>
  </si>
  <si>
    <t>Kaylie Milam</t>
  </si>
  <si>
    <t>K. MILAM</t>
  </si>
  <si>
    <t>970-515-1679</t>
  </si>
  <si>
    <t>K. MILAM  970-515-1679</t>
  </si>
  <si>
    <t>05-123-24977</t>
  </si>
  <si>
    <t>NESG 14-24</t>
  </si>
  <si>
    <t>93360</t>
  </si>
  <si>
    <t>PENDING-93360</t>
  </si>
  <si>
    <t xml:space="preserve">W1D  / RON KERN                        </t>
  </si>
  <si>
    <t>SW SW</t>
  </si>
  <si>
    <t>68W</t>
  </si>
  <si>
    <t>15.8 ppg</t>
  </si>
  <si>
    <t>7517' - 7531'</t>
  </si>
  <si>
    <t xml:space="preserve">NESG </t>
  </si>
  <si>
    <t>14-24</t>
  </si>
  <si>
    <t>CODELL</t>
  </si>
  <si>
    <t>7517</t>
  </si>
  <si>
    <t>7531</t>
  </si>
  <si>
    <t>Surface String</t>
  </si>
  <si>
    <t>8-5/8</t>
  </si>
  <si>
    <t xml:space="preserve"> 24</t>
  </si>
  <si>
    <t>917</t>
  </si>
  <si>
    <t>0</t>
  </si>
  <si>
    <t>VISU</t>
  </si>
  <si>
    <t>First String</t>
  </si>
  <si>
    <t>4-1/2</t>
  </si>
  <si>
    <t xml:space="preserve"> 11.6</t>
  </si>
  <si>
    <t>7680</t>
  </si>
  <si>
    <t>CBL</t>
  </si>
  <si>
    <t>S.C. 1.1</t>
  </si>
  <si>
    <t>1430</t>
  </si>
  <si>
    <t>75</t>
  </si>
  <si>
    <t>658</t>
  </si>
  <si>
    <t>Casing</t>
  </si>
  <si>
    <t>440</t>
  </si>
  <si>
    <t>248</t>
  </si>
  <si>
    <t>MIRU WL.  PU and RIH with (4-1/2", 11.6#) CIBP and set at +/- 4032' (collars at 4012' &amp; 4057').  POOH.  RIH and dump 2 sx cement on CIBP.  POOH.</t>
  </si>
  <si>
    <t>Niobrara Perfs</t>
  </si>
  <si>
    <t>7274' - 7385'</t>
  </si>
  <si>
    <t>2 sx</t>
  </si>
  <si>
    <t>2000'</t>
  </si>
  <si>
    <t>Perf</t>
  </si>
  <si>
    <t>1500'</t>
  </si>
  <si>
    <t>1560'</t>
  </si>
  <si>
    <t>190 sx</t>
  </si>
  <si>
    <t>1.23 yld</t>
  </si>
  <si>
    <t>600'</t>
  </si>
  <si>
    <t>Casing Punches/BOC</t>
  </si>
  <si>
    <t>220 sx</t>
  </si>
  <si>
    <t>35 sx</t>
  </si>
  <si>
    <t>700'</t>
  </si>
  <si>
    <t>NIOBRARA</t>
  </si>
  <si>
    <t>7274</t>
  </si>
  <si>
    <t>7385</t>
  </si>
  <si>
    <t>3980</t>
  </si>
  <si>
    <t>2</t>
  </si>
  <si>
    <t>2000</t>
  </si>
  <si>
    <t>220</t>
  </si>
  <si>
    <t>1560</t>
  </si>
  <si>
    <t>190</t>
  </si>
  <si>
    <t>600</t>
  </si>
  <si>
    <t>10</t>
  </si>
  <si>
    <t>1460</t>
  </si>
  <si>
    <t>35</t>
  </si>
  <si>
    <t>1190</t>
  </si>
  <si>
    <t>700</t>
  </si>
  <si>
    <t>KB=-20'</t>
  </si>
  <si>
    <t>12-1/4" / 920'</t>
  </si>
  <si>
    <t>BP'</t>
  </si>
  <si>
    <t>8-5/8", 24#/ft set @ 917'</t>
  </si>
  <si>
    <t>4032'</t>
  </si>
  <si>
    <t>4232'</t>
  </si>
  <si>
    <t>4434'</t>
  </si>
  <si>
    <t xml:space="preserve">               NOT productive within 1 mile</t>
  </si>
  <si>
    <t>4819'</t>
  </si>
  <si>
    <t>6800'</t>
  </si>
  <si>
    <t>7200'</t>
  </si>
  <si>
    <t>7261'</t>
  </si>
  <si>
    <t>7-7/8" / 7700'</t>
  </si>
  <si>
    <t>4-1/2", 11.6#/ft set @ 7680'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</si>
</sst>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64" formatCode="0."/>
    <numFmt numFmtId="165" formatCode="0\'"/>
    <numFmt numFmtId="166" formatCode="0.0000"/>
    <numFmt numFmtId="167" formatCode="0.0"/>
    <numFmt numFmtId="168" formatCode="0.000000"/>
    <numFmt numFmtId="169" formatCode="#\-?/?"/>
    <numFmt numFmtId="170" formatCode="0.000"/>
  </numFmts>
  <fonts count="63">
    <font>
      <sz val="11"/>
      <color theme="1"/>
      <name val="Calibri"/>
      <family val="2"/>
      <scheme val="minor"/>
    </font>
    <font>
      <b/>
      <sz val="11"/>
      <color theme="1"/>
      <name val="Calibri"/>
      <family val="2"/>
      <scheme val="minor"/>
    </font>
    <font>
      <b/>
      <u/>
      <sz val="11"/>
      <color theme="1"/>
      <name val="Calibri"/>
      <family val="2"/>
      <scheme val="minor"/>
    </font>
    <font>
      <sz val="11"/>
      <color theme="1"/>
      <name val="Calibri"/>
      <family val="2"/>
      <scheme val="minor"/>
    </font>
    <font>
      <sz val="11"/>
      <name val="Calibri"/>
      <family val="2"/>
      <scheme val="minor"/>
    </font>
    <font>
      <b/>
      <sz val="11"/>
      <name val="Calibri"/>
      <family val="2"/>
      <scheme val="minor"/>
    </font>
    <font>
      <b/>
      <sz val="10"/>
      <color theme="1"/>
      <name val="Calibri"/>
      <family val="2"/>
      <scheme val="minor"/>
    </font>
    <font>
      <sz val="11"/>
      <color theme="0" tint="-4.9989318521683403E-2"/>
      <name val="Calibri"/>
      <family val="2"/>
      <scheme val="minor"/>
    </font>
    <font>
      <sz val="11"/>
      <color indexed="8"/>
      <name val="Calibri"/>
      <family val="2"/>
    </font>
    <font>
      <sz val="11"/>
      <name val="Calibri"/>
      <family val="2"/>
    </font>
    <font>
      <b/>
      <sz val="11"/>
      <name val="Calibri"/>
      <family val="2"/>
    </font>
    <font>
      <sz val="8"/>
      <name val="DUTCH"/>
    </font>
    <font>
      <b/>
      <sz val="11"/>
      <color indexed="10"/>
      <name val="Calibri"/>
      <family val="2"/>
    </font>
    <font>
      <b/>
      <sz val="11"/>
      <color rgb="FFFF0000"/>
      <name val="Calibri"/>
      <family val="2"/>
      <scheme val="minor"/>
    </font>
    <font>
      <b/>
      <sz val="11"/>
      <color rgb="FF000000"/>
      <name val="Calibri"/>
      <family val="2"/>
    </font>
    <font>
      <b/>
      <sz val="10"/>
      <color rgb="FF000000"/>
      <name val="Calibri"/>
      <family val="2"/>
    </font>
    <font>
      <sz val="11"/>
      <color theme="1"/>
      <name val="Calibri"/>
      <family val="2"/>
    </font>
    <font>
      <sz val="11"/>
      <color rgb="FF000000"/>
      <name val="Calibri"/>
      <family val="2"/>
    </font>
    <font>
      <sz val="11"/>
      <color rgb="FFF2F2F2"/>
      <name val="Calibri"/>
      <family val="2"/>
    </font>
    <font>
      <b/>
      <sz val="12"/>
      <color rgb="FF000000"/>
      <name val="Calibri"/>
      <family val="2"/>
    </font>
    <font>
      <u/>
      <sz val="11"/>
      <color rgb="FF000000"/>
      <name val="Calibri"/>
      <family val="2"/>
    </font>
    <font>
      <sz val="11"/>
      <color rgb="FFFF0000"/>
      <name val="Calibri"/>
      <family val="2"/>
      <scheme val="minor"/>
    </font>
    <font>
      <b/>
      <sz val="11"/>
      <color rgb="FFFF0000"/>
      <name val="Calibri"/>
      <family val="2"/>
    </font>
    <font>
      <sz val="11"/>
      <color rgb="FFFF0000"/>
      <name val="Calibri"/>
      <family val="2"/>
    </font>
    <font>
      <sz val="12"/>
      <color rgb="FF0000FF"/>
      <name val="Cambria"/>
      <family val="1"/>
    </font>
    <font>
      <sz val="12"/>
      <color rgb="FF365F91"/>
      <name val="Cambria"/>
      <family val="1"/>
    </font>
    <font>
      <sz val="22"/>
      <color rgb="FF000000"/>
      <name val="Cambria"/>
      <family val="1"/>
    </font>
    <font>
      <sz val="11"/>
      <color rgb="FF000000"/>
      <name val="Cambria"/>
      <family val="1"/>
    </font>
    <font>
      <sz val="11"/>
      <name val="Cambria"/>
      <family val="1"/>
    </font>
    <font>
      <i/>
      <sz val="9"/>
      <color rgb="FF000000"/>
      <name val="Cambria"/>
      <family val="1"/>
    </font>
    <font>
      <sz val="20"/>
      <color theme="1"/>
      <name val="Calibri"/>
      <family val="2"/>
      <scheme val="minor"/>
    </font>
    <font>
      <b/>
      <u/>
      <sz val="11"/>
      <color rgb="FFFF0000"/>
      <name val="Calibri"/>
      <family val="2"/>
      <scheme val="minor"/>
    </font>
    <font>
      <sz val="8"/>
      <name val="Arial Narrow"/>
      <family val="2"/>
    </font>
    <font>
      <u/>
      <sz val="8"/>
      <color indexed="12"/>
      <name val="DUTCH"/>
    </font>
    <font>
      <sz val="10"/>
      <name val="Arial Narrow"/>
      <family val="2"/>
    </font>
    <font>
      <b/>
      <sz val="9"/>
      <name val="Arial Narrow"/>
      <family val="2"/>
    </font>
    <font>
      <b/>
      <sz val="8"/>
      <name val="Arial Narrow"/>
      <family val="2"/>
    </font>
    <font>
      <b/>
      <sz val="12"/>
      <name val="Arial Narrow"/>
      <family val="2"/>
    </font>
    <font>
      <sz val="9"/>
      <name val="Arial Narrow"/>
      <family val="2"/>
    </font>
    <font>
      <b/>
      <sz val="10"/>
      <name val="Arial Narrow"/>
      <family val="2"/>
    </font>
    <font>
      <sz val="12"/>
      <name val="Arial Narrow"/>
      <family val="2"/>
    </font>
    <font>
      <sz val="11"/>
      <color rgb="FF0000FF"/>
      <name val="Calibri"/>
      <family val="2"/>
    </font>
    <font>
      <u/>
      <sz val="11"/>
      <name val="Calibri"/>
      <family val="2"/>
    </font>
    <font>
      <b/>
      <vertAlign val="superscript"/>
      <sz val="11"/>
      <color theme="1"/>
      <name val="Calibri"/>
      <family val="2"/>
      <scheme val="minor"/>
    </font>
    <font>
      <vertAlign val="superscript"/>
      <sz val="11"/>
      <color theme="1"/>
      <name val="Calibri"/>
      <family val="2"/>
      <scheme val="minor"/>
    </font>
    <font>
      <sz val="11"/>
      <color theme="2" tint="-9.9978637043366805E-2"/>
      <name val="Calibri"/>
      <family val="2"/>
      <scheme val="minor"/>
    </font>
    <font>
      <b/>
      <sz val="16"/>
      <color theme="1"/>
      <name val="Calibri"/>
      <family val="2"/>
      <scheme val="minor"/>
    </font>
    <font>
      <b/>
      <sz val="14"/>
      <name val="Arial Narrow"/>
      <family val="2"/>
    </font>
    <font>
      <b/>
      <sz val="11"/>
      <name val="Arial"/>
      <family val="2"/>
    </font>
    <font>
      <b/>
      <sz val="13"/>
      <name val="Arial"/>
      <family val="2"/>
    </font>
    <font>
      <sz val="12"/>
      <name val="Arial"/>
      <family val="2"/>
    </font>
    <font>
      <sz val="7"/>
      <name val="Arial Narrow"/>
      <family val="2"/>
    </font>
    <font>
      <b/>
      <sz val="7"/>
      <name val="Arial Narrow"/>
      <family val="2"/>
    </font>
    <font>
      <b/>
      <i/>
      <sz val="9"/>
      <name val="Arial Narrow"/>
      <family val="2"/>
    </font>
    <font>
      <b/>
      <sz val="13"/>
      <name val="Arial Narrow"/>
      <family val="2"/>
    </font>
    <font>
      <b/>
      <i/>
      <sz val="11"/>
      <name val="Arial Narrow"/>
      <family val="2"/>
    </font>
    <font>
      <sz val="8"/>
      <name val="Arial"/>
      <family val="2"/>
    </font>
    <font>
      <sz val="10"/>
      <name val="Arial"/>
      <family val="2"/>
    </font>
    <font>
      <i/>
      <sz val="10"/>
      <name val="Arial Narrow"/>
      <family val="2"/>
    </font>
    <font>
      <b/>
      <i/>
      <sz val="13"/>
      <name val="Arial Narrow"/>
      <family val="2"/>
    </font>
    <font>
      <sz val="9"/>
      <name val="Arial"/>
      <family val="2"/>
    </font>
    <font>
      <b/>
      <sz val="10"/>
      <name val="Arial"/>
      <family val="2"/>
    </font>
    <font>
      <u/>
      <sz val="12"/>
      <name val="DUTCH"/>
    </font>
  </fonts>
  <fills count="38">
    <fill>
      <patternFill patternType="none"/>
    </fill>
    <fill>
      <patternFill patternType="gray125"/>
    </fill>
    <fill>
      <patternFill patternType="solid">
        <fgColor rgb="FFFF7D7D"/>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theme="9" tint="-0.249977111117893"/>
        <bgColor indexed="64"/>
      </patternFill>
    </fill>
    <fill>
      <patternFill patternType="solid">
        <fgColor theme="6" tint="-0.499984740745262"/>
        <bgColor indexed="64"/>
      </patternFill>
    </fill>
    <fill>
      <patternFill patternType="solid">
        <fgColor rgb="FFFF0000"/>
        <bgColor indexed="64"/>
      </patternFill>
    </fill>
    <fill>
      <patternFill patternType="solid">
        <fgColor theme="6" tint="0.59999389629810485"/>
        <bgColor indexed="64"/>
      </patternFill>
    </fill>
    <fill>
      <patternFill patternType="solid">
        <fgColor theme="9" tint="0.39997558519241921"/>
        <bgColor indexed="64"/>
      </patternFill>
    </fill>
    <fill>
      <patternFill patternType="solid">
        <fgColor rgb="FFCCC8AC"/>
        <bgColor indexed="64"/>
      </patternFill>
    </fill>
    <fill>
      <patternFill patternType="solid">
        <fgColor indexed="23"/>
        <bgColor indexed="64"/>
      </patternFill>
    </fill>
    <fill>
      <patternFill patternType="solid">
        <fgColor indexed="9"/>
      </patternFill>
    </fill>
    <fill>
      <patternFill patternType="solid">
        <fgColor indexed="55"/>
        <bgColor indexed="64"/>
      </patternFill>
    </fill>
    <fill>
      <patternFill patternType="solid">
        <fgColor rgb="FFBFBFBF"/>
        <bgColor rgb="FF000000"/>
      </patternFill>
    </fill>
    <fill>
      <patternFill patternType="solid">
        <fgColor rgb="FF4F6228"/>
        <bgColor rgb="FF000000"/>
      </patternFill>
    </fill>
    <fill>
      <patternFill patternType="solid">
        <fgColor rgb="FFD8E4BC"/>
        <bgColor rgb="FF000000"/>
      </patternFill>
    </fill>
    <fill>
      <patternFill patternType="solid">
        <fgColor rgb="FFFABF8F"/>
        <bgColor rgb="FF000000"/>
      </patternFill>
    </fill>
    <fill>
      <patternFill patternType="solid">
        <fgColor rgb="FF808080"/>
        <bgColor rgb="FF000000"/>
      </patternFill>
    </fill>
    <fill>
      <patternFill patternType="solid">
        <fgColor rgb="FFC4BD97"/>
        <bgColor rgb="FF000000"/>
      </patternFill>
    </fill>
    <fill>
      <patternFill patternType="solid">
        <fgColor rgb="FF948A54"/>
        <bgColor rgb="FF000000"/>
      </patternFill>
    </fill>
    <fill>
      <patternFill patternType="solid">
        <fgColor rgb="FFE6B8B7"/>
        <bgColor rgb="FF000000"/>
      </patternFill>
    </fill>
    <fill>
      <patternFill patternType="solid">
        <fgColor theme="7" tint="0.59999389629810485"/>
        <bgColor indexed="64"/>
      </patternFill>
    </fill>
    <fill>
      <patternFill patternType="solid">
        <fgColor theme="9" tint="0.59999389629810485"/>
        <bgColor indexed="64"/>
      </patternFill>
    </fill>
    <fill>
      <patternFill patternType="solid">
        <fgColor theme="2" tint="-0.249977111117893"/>
        <bgColor indexed="64"/>
      </patternFill>
    </fill>
    <fill>
      <patternFill patternType="solid">
        <fgColor rgb="FFFFFFFF"/>
        <bgColor indexed="64"/>
      </patternFill>
    </fill>
    <fill>
      <patternFill patternType="solid">
        <fgColor rgb="FFD2EAF1"/>
        <bgColor indexed="64"/>
      </patternFill>
    </fill>
    <fill>
      <patternFill patternType="solid">
        <fgColor rgb="FFFF7C80"/>
        <bgColor indexed="64"/>
      </patternFill>
    </fill>
    <fill>
      <patternFill patternType="solid">
        <fgColor theme="4" tint="0.39997558519241921"/>
        <bgColor indexed="64"/>
      </patternFill>
    </fill>
    <fill>
      <patternFill patternType="solid">
        <fgColor theme="0" tint="-0.249977111117893"/>
        <bgColor rgb="FF000000"/>
      </patternFill>
    </fill>
    <fill>
      <patternFill patternType="solid">
        <fgColor rgb="FFF79646"/>
        <bgColor rgb="FF000000"/>
      </patternFill>
    </fill>
    <fill>
      <patternFill patternType="solid">
        <fgColor theme="4" tint="0.79998168889431442"/>
        <bgColor indexed="64"/>
      </patternFill>
    </fill>
    <fill>
      <patternFill patternType="solid">
        <fgColor theme="4" tint="0.59999389629810485"/>
        <bgColor indexed="64"/>
      </patternFill>
    </fill>
    <fill>
      <patternFill patternType="solid">
        <fgColor theme="9" tint="0.79998168889431442"/>
        <bgColor indexed="64"/>
      </patternFill>
    </fill>
    <fill>
      <patternFill patternType="solid">
        <fgColor theme="7"/>
        <bgColor indexed="64"/>
      </patternFill>
    </fill>
    <fill>
      <patternFill patternType="solid">
        <fgColor theme="7" tint="0.79998168889431442"/>
        <bgColor indexed="64"/>
      </patternFill>
    </fill>
    <fill>
      <patternFill patternType="solid">
        <fgColor theme="2"/>
        <bgColor indexed="64"/>
      </patternFill>
    </fill>
    <fill>
      <patternFill patternType="solid">
        <fgColor theme="5" tint="0.59999389629810485"/>
        <bgColor indexed="64"/>
      </patternFill>
    </fill>
  </fills>
  <borders count="9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tted">
        <color indexed="64"/>
      </left>
      <right style="medium">
        <color indexed="64"/>
      </right>
      <top/>
      <bottom/>
      <diagonal/>
    </border>
    <border>
      <left style="medium">
        <color indexed="64"/>
      </left>
      <right style="medium">
        <color indexed="64"/>
      </right>
      <top/>
      <bottom/>
      <diagonal/>
    </border>
    <border>
      <left style="medium">
        <color indexed="64"/>
      </left>
      <right style="dotted">
        <color indexed="64"/>
      </right>
      <top/>
      <bottom/>
      <diagonal/>
    </border>
    <border>
      <left style="medium">
        <color indexed="64"/>
      </left>
      <right style="medium">
        <color indexed="64"/>
      </right>
      <top style="medium">
        <color indexed="64"/>
      </top>
      <bottom style="medium">
        <color indexed="64"/>
      </bottom>
      <diagonal/>
    </border>
    <border>
      <left style="dotted">
        <color indexed="64"/>
      </left>
      <right style="dotted">
        <color indexed="64"/>
      </right>
      <top/>
      <bottom/>
      <diagonal/>
    </border>
    <border>
      <left/>
      <right/>
      <top/>
      <bottom style="double">
        <color rgb="FFFF0000"/>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dotted">
        <color indexed="64"/>
      </right>
      <top/>
      <bottom style="double">
        <color indexed="10"/>
      </bottom>
      <diagonal/>
    </border>
    <border>
      <left/>
      <right style="dotted">
        <color indexed="64"/>
      </right>
      <top/>
      <bottom/>
      <diagonal/>
    </border>
    <border>
      <left style="medium">
        <color indexed="64"/>
      </left>
      <right style="dotted">
        <color indexed="64"/>
      </right>
      <top style="double">
        <color indexed="10"/>
      </top>
      <bottom/>
      <diagonal/>
    </border>
    <border>
      <left style="medium">
        <color indexed="64"/>
      </left>
      <right style="dotted">
        <color indexed="64"/>
      </right>
      <top style="double">
        <color rgb="FFFF0000"/>
      </top>
      <bottom/>
      <diagonal/>
    </border>
    <border>
      <left style="medium">
        <color indexed="64"/>
      </left>
      <right style="dotted">
        <color indexed="64"/>
      </right>
      <top/>
      <bottom style="double">
        <color rgb="FFFF0000"/>
      </bottom>
      <diagonal/>
    </border>
    <border>
      <left/>
      <right/>
      <top style="medium">
        <color indexed="64"/>
      </top>
      <bottom/>
      <diagonal/>
    </border>
    <border>
      <left style="medium">
        <color indexed="64"/>
      </left>
      <right/>
      <top/>
      <bottom/>
      <diagonal/>
    </border>
    <border>
      <left/>
      <right style="medium">
        <color indexed="64"/>
      </right>
      <top/>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top/>
      <bottom style="thick">
        <color rgb="FF4BACC6"/>
      </bottom>
      <diagonal/>
    </border>
    <border>
      <left style="thick">
        <color theme="8"/>
      </left>
      <right style="medium">
        <color rgb="FF4BACC6"/>
      </right>
      <top style="thick">
        <color rgb="FF4BACC6"/>
      </top>
      <bottom/>
      <diagonal/>
    </border>
    <border>
      <left style="medium">
        <color rgb="FF4BACC6"/>
      </left>
      <right style="thick">
        <color theme="8"/>
      </right>
      <top style="thick">
        <color rgb="FF4BACC6"/>
      </top>
      <bottom/>
      <diagonal/>
    </border>
    <border>
      <left style="thick">
        <color theme="8"/>
      </left>
      <right style="medium">
        <color rgb="FF4BACC6"/>
      </right>
      <top/>
      <bottom/>
      <diagonal/>
    </border>
    <border>
      <left style="medium">
        <color rgb="FF4BACC6"/>
      </left>
      <right style="thick">
        <color theme="8"/>
      </right>
      <top/>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indexed="8"/>
      </bottom>
      <diagonal/>
    </border>
    <border>
      <left/>
      <right/>
      <top style="thin">
        <color indexed="8"/>
      </top>
      <bottom style="thin">
        <color indexed="8"/>
      </bottom>
      <diagonal/>
    </border>
    <border>
      <left/>
      <right/>
      <top style="thin">
        <color indexed="8"/>
      </top>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top style="thin">
        <color indexed="8"/>
      </top>
      <bottom style="thin">
        <color indexed="8"/>
      </bottom>
      <diagonal/>
    </border>
    <border>
      <left/>
      <right style="thin">
        <color indexed="64"/>
      </right>
      <top style="thin">
        <color indexed="8"/>
      </top>
      <bottom style="thin">
        <color indexed="8"/>
      </bottom>
      <diagonal/>
    </border>
    <border>
      <left/>
      <right style="thin">
        <color indexed="64"/>
      </right>
      <top style="thin">
        <color indexed="8"/>
      </top>
      <bottom style="thin">
        <color indexed="64"/>
      </bottom>
      <diagonal/>
    </border>
    <border>
      <left/>
      <right/>
      <top/>
      <bottom style="thin">
        <color indexed="64"/>
      </bottom>
      <diagonal/>
    </border>
    <border>
      <left style="thin">
        <color indexed="64"/>
      </left>
      <right/>
      <top style="thin">
        <color indexed="8"/>
      </top>
      <bottom style="thin">
        <color indexed="64"/>
      </bottom>
      <diagonal/>
    </border>
    <border>
      <left/>
      <right style="thin">
        <color indexed="8"/>
      </right>
      <top/>
      <bottom style="thin">
        <color indexed="8"/>
      </bottom>
      <diagonal/>
    </border>
    <border>
      <left style="thin">
        <color indexed="64"/>
      </left>
      <right/>
      <top/>
      <bottom style="thin">
        <color indexed="8"/>
      </bottom>
      <diagonal/>
    </border>
    <border>
      <left/>
      <right style="thin">
        <color indexed="64"/>
      </right>
      <top/>
      <bottom style="thin">
        <color indexed="8"/>
      </bottom>
      <diagonal/>
    </border>
    <border>
      <left style="thin">
        <color indexed="8"/>
      </left>
      <right/>
      <top/>
      <bottom style="thin">
        <color indexed="8"/>
      </bottom>
      <diagonal/>
    </border>
    <border>
      <left/>
      <right style="thin">
        <color indexed="8"/>
      </right>
      <top style="thin">
        <color indexed="8"/>
      </top>
      <bottom/>
      <diagonal/>
    </border>
    <border>
      <left style="thin">
        <color indexed="64"/>
      </left>
      <right/>
      <top style="thin">
        <color indexed="8"/>
      </top>
      <bottom/>
      <diagonal/>
    </border>
    <border>
      <left/>
      <right style="thin">
        <color indexed="64"/>
      </right>
      <top style="thin">
        <color indexed="8"/>
      </top>
      <bottom/>
      <diagonal/>
    </border>
    <border>
      <left style="thin">
        <color indexed="8"/>
      </left>
      <right/>
      <top style="thin">
        <color indexed="8"/>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8"/>
      </right>
      <top/>
      <bottom/>
      <diagonal/>
    </border>
    <border>
      <left/>
      <right style="thin">
        <color indexed="8"/>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right style="thin">
        <color indexed="64"/>
      </right>
      <top style="thin">
        <color indexed="64"/>
      </top>
      <bottom style="medium">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medium">
        <color indexed="64"/>
      </left>
      <right style="medium">
        <color indexed="64"/>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top style="mediumDashDotDot">
        <color indexed="64"/>
      </top>
      <bottom/>
      <diagonal/>
    </border>
    <border>
      <left/>
      <right/>
      <top style="mediumDashDotDot">
        <color indexed="64"/>
      </top>
      <bottom/>
      <diagonal/>
    </border>
    <border>
      <left/>
      <right style="thin">
        <color indexed="64"/>
      </right>
      <top style="mediumDashDotDot">
        <color indexed="64"/>
      </top>
      <bottom/>
      <diagonal/>
    </border>
  </borders>
  <cellStyleXfs count="39">
    <xf numFmtId="0" fontId="0" fillId="0" borderId="0"/>
    <xf numFmtId="0" fontId="4" fillId="0" borderId="7">
      <alignment horizontal="center"/>
    </xf>
    <xf numFmtId="0" fontId="3" fillId="0" borderId="8"/>
    <xf numFmtId="165" fontId="3" fillId="3" borderId="10">
      <alignment horizontal="center"/>
    </xf>
    <xf numFmtId="0" fontId="5" fillId="4" borderId="11">
      <alignment horizontal="center"/>
    </xf>
    <xf numFmtId="165" fontId="3" fillId="3" borderId="12">
      <alignment horizontal="center"/>
    </xf>
    <xf numFmtId="165" fontId="5" fillId="5" borderId="13">
      <alignment horizontal="center"/>
    </xf>
    <xf numFmtId="165" fontId="3" fillId="0" borderId="0">
      <alignment horizontal="center"/>
    </xf>
    <xf numFmtId="0" fontId="1" fillId="4" borderId="14">
      <alignment horizontal="center" vertical="center"/>
    </xf>
    <xf numFmtId="0" fontId="1" fillId="4" borderId="11">
      <alignment horizontal="center" vertical="center"/>
    </xf>
    <xf numFmtId="0" fontId="1" fillId="0" borderId="10"/>
    <xf numFmtId="0" fontId="3" fillId="0" borderId="12"/>
    <xf numFmtId="0" fontId="3" fillId="0" borderId="5" applyFont="0">
      <alignment horizontal="center"/>
    </xf>
    <xf numFmtId="165" fontId="3" fillId="0" borderId="6">
      <alignment horizontal="center"/>
    </xf>
    <xf numFmtId="165" fontId="4" fillId="0" borderId="9">
      <alignment horizontal="center"/>
    </xf>
    <xf numFmtId="0" fontId="3" fillId="3" borderId="10"/>
    <xf numFmtId="165" fontId="3" fillId="3" borderId="12">
      <alignment horizontal="center"/>
    </xf>
    <xf numFmtId="0" fontId="3" fillId="0" borderId="15">
      <alignment horizontal="center"/>
    </xf>
    <xf numFmtId="0" fontId="1" fillId="3" borderId="11">
      <alignment horizontal="center" vertical="center"/>
    </xf>
    <xf numFmtId="165" fontId="1" fillId="6" borderId="13">
      <alignment horizontal="center"/>
    </xf>
    <xf numFmtId="0" fontId="4" fillId="7" borderId="16">
      <alignment horizontal="center"/>
    </xf>
    <xf numFmtId="0" fontId="4" fillId="7" borderId="17">
      <alignment horizontal="center"/>
    </xf>
    <xf numFmtId="165" fontId="1" fillId="8" borderId="3">
      <alignment horizontal="center"/>
    </xf>
    <xf numFmtId="165" fontId="6" fillId="5" borderId="13">
      <alignment horizontal="center" vertical="center" wrapText="1"/>
    </xf>
    <xf numFmtId="165" fontId="1" fillId="9" borderId="3">
      <alignment horizontal="center"/>
    </xf>
    <xf numFmtId="0" fontId="7" fillId="3" borderId="14">
      <alignment horizontal="center" vertical="center"/>
    </xf>
    <xf numFmtId="165" fontId="1" fillId="10" borderId="11">
      <alignment horizontal="center" vertical="center"/>
    </xf>
    <xf numFmtId="0" fontId="11" fillId="12" borderId="0"/>
    <xf numFmtId="0" fontId="8" fillId="13" borderId="11"/>
    <xf numFmtId="0" fontId="12" fillId="11" borderId="18"/>
    <xf numFmtId="0" fontId="12" fillId="11" borderId="10"/>
    <xf numFmtId="0" fontId="12" fillId="11" borderId="19"/>
    <xf numFmtId="0" fontId="12" fillId="11" borderId="20"/>
    <xf numFmtId="0" fontId="13" fillId="4" borderId="10"/>
    <xf numFmtId="0" fontId="13" fillId="4" borderId="21"/>
    <xf numFmtId="0" fontId="13" fillId="4" borderId="19"/>
    <xf numFmtId="0" fontId="13" fillId="4" borderId="22"/>
    <xf numFmtId="0" fontId="3" fillId="3" borderId="11"/>
    <xf numFmtId="0" fontId="33" fillId="0" borderId="0" applyNumberFormat="0" applyFill="0" applyBorder="0" applyAlignment="0" applyProtection="0">
      <alignment vertical="top"/>
      <protection locked="0"/>
    </xf>
  </cellStyleXfs>
  <cellXfs count="838">
    <xf numFmtId="0" fontId="0" fillId="0" borderId="0" xfId="0"/>
    <xf numFmtId="0" fontId="0" fillId="0" borderId="3" xfId="0" applyFill="1" applyBorder="1"/>
    <xf numFmtId="0" fontId="0" fillId="2" borderId="3" xfId="0" applyFill="1" applyBorder="1" applyAlignment="1">
      <alignment horizontal="center"/>
    </xf>
    <xf numFmtId="0" fontId="0" fillId="0" borderId="3" xfId="0" applyBorder="1"/>
    <xf numFmtId="14" fontId="0" fillId="2" borderId="3" xfId="0" applyNumberFormat="1" applyFill="1" applyBorder="1" applyAlignment="1">
      <alignment horizontal="center"/>
    </xf>
    <xf numFmtId="0" fontId="0" fillId="0" borderId="1" xfId="0" applyFont="1" applyFill="1" applyBorder="1" applyAlignment="1">
      <alignment horizontal="left"/>
    </xf>
    <xf numFmtId="0" fontId="1" fillId="0" borderId="0" xfId="0" applyFont="1"/>
    <xf numFmtId="14" fontId="0" fillId="0" borderId="0" xfId="0" applyNumberFormat="1" applyAlignment="1">
      <alignment horizontal="left"/>
    </xf>
    <xf numFmtId="0" fontId="2" fillId="0" borderId="0" xfId="0" applyFont="1"/>
    <xf numFmtId="0" fontId="0" fillId="0" borderId="0" xfId="0"/>
    <xf numFmtId="0" fontId="1" fillId="0" borderId="3" xfId="0" applyFont="1" applyBorder="1" applyAlignment="1">
      <alignment horizontal="center"/>
    </xf>
    <xf numFmtId="0" fontId="0" fillId="0" borderId="3" xfId="0" applyFill="1" applyBorder="1"/>
    <xf numFmtId="0" fontId="0" fillId="2" borderId="3" xfId="0" applyFill="1" applyBorder="1" applyAlignment="1">
      <alignment horizontal="center"/>
    </xf>
    <xf numFmtId="0" fontId="0" fillId="0" borderId="0" xfId="0" applyFill="1"/>
    <xf numFmtId="0" fontId="0" fillId="0" borderId="29" xfId="0" applyFont="1" applyFill="1" applyBorder="1" applyAlignment="1">
      <alignment horizontal="left" wrapText="1"/>
    </xf>
    <xf numFmtId="0" fontId="1" fillId="0" borderId="1" xfId="0" applyFont="1" applyFill="1" applyBorder="1" applyAlignment="1">
      <alignment horizontal="center" wrapText="1"/>
    </xf>
    <xf numFmtId="0" fontId="1" fillId="0" borderId="28" xfId="0" applyFont="1" applyFill="1" applyBorder="1" applyAlignment="1">
      <alignment horizontal="center" wrapText="1"/>
    </xf>
    <xf numFmtId="0" fontId="1" fillId="0" borderId="29" xfId="0" applyFont="1" applyFill="1" applyBorder="1" applyAlignment="1">
      <alignment horizontal="center" wrapText="1"/>
    </xf>
    <xf numFmtId="0" fontId="1" fillId="0" borderId="30" xfId="0" applyFont="1" applyFill="1" applyBorder="1" applyAlignment="1">
      <alignment horizontal="center" wrapText="1"/>
    </xf>
    <xf numFmtId="164" fontId="0" fillId="0" borderId="0" xfId="0" applyNumberFormat="1" applyAlignment="1">
      <alignment vertical="top"/>
    </xf>
    <xf numFmtId="0" fontId="0" fillId="22" borderId="3" xfId="0" applyFont="1" applyFill="1" applyBorder="1"/>
    <xf numFmtId="0" fontId="0" fillId="23" borderId="3" xfId="0" applyFont="1" applyFill="1" applyBorder="1"/>
    <xf numFmtId="0" fontId="0" fillId="24" borderId="3" xfId="0" applyFont="1" applyFill="1" applyBorder="1"/>
    <xf numFmtId="0" fontId="0" fillId="22" borderId="3" xfId="0" applyFill="1" applyBorder="1"/>
    <xf numFmtId="164" fontId="1" fillId="0" borderId="0" xfId="0" applyNumberFormat="1" applyFont="1" applyAlignment="1">
      <alignment vertical="top"/>
    </xf>
    <xf numFmtId="0" fontId="0" fillId="0" borderId="0" xfId="0" applyAlignment="1">
      <alignment horizontal="center"/>
    </xf>
    <xf numFmtId="0" fontId="26" fillId="26" borderId="33" xfId="0" applyFont="1" applyFill="1" applyBorder="1" applyAlignment="1">
      <alignment horizontal="center" vertical="center" wrapText="1"/>
    </xf>
    <xf numFmtId="0" fontId="25" fillId="25" borderId="34" xfId="0" applyFont="1" applyFill="1" applyBorder="1" applyAlignment="1">
      <alignment vertical="center" wrapText="1"/>
    </xf>
    <xf numFmtId="0" fontId="27" fillId="0" borderId="35" xfId="0" applyFont="1" applyBorder="1" applyAlignment="1">
      <alignment horizontal="center" vertical="center" wrapText="1"/>
    </xf>
    <xf numFmtId="0" fontId="28" fillId="0" borderId="35" xfId="0" applyFont="1" applyFill="1" applyBorder="1" applyAlignment="1">
      <alignment horizontal="center" vertical="center" wrapText="1"/>
    </xf>
    <xf numFmtId="0" fontId="25" fillId="0" borderId="34" xfId="0" applyFont="1" applyFill="1" applyBorder="1" applyAlignment="1">
      <alignment vertical="center" wrapText="1"/>
    </xf>
    <xf numFmtId="0" fontId="25" fillId="0" borderId="0" xfId="0" applyFont="1" applyFill="1" applyBorder="1" applyAlignment="1">
      <alignment vertical="center" wrapText="1"/>
    </xf>
    <xf numFmtId="0" fontId="27" fillId="0" borderId="0" xfId="0" applyFont="1" applyFill="1" applyBorder="1" applyAlignment="1">
      <alignment horizontal="left" vertical="center" wrapText="1"/>
    </xf>
    <xf numFmtId="0" fontId="0" fillId="0" borderId="0" xfId="0" applyFill="1" applyBorder="1"/>
    <xf numFmtId="0" fontId="29" fillId="0" borderId="0" xfId="0" applyFont="1" applyFill="1" applyBorder="1" applyAlignment="1">
      <alignment vertical="center" wrapText="1"/>
    </xf>
    <xf numFmtId="0" fontId="0" fillId="0" borderId="0" xfId="0" applyFill="1" applyBorder="1" applyAlignment="1">
      <alignment vertical="center"/>
    </xf>
    <xf numFmtId="0" fontId="0" fillId="0" borderId="24" xfId="0" applyBorder="1"/>
    <xf numFmtId="0" fontId="1" fillId="0" borderId="0" xfId="0" applyFont="1" applyBorder="1"/>
    <xf numFmtId="0" fontId="0" fillId="0" borderId="16" xfId="0" applyBorder="1"/>
    <xf numFmtId="0" fontId="0" fillId="0" borderId="0" xfId="0" applyBorder="1" applyAlignment="1">
      <alignment horizontal="center"/>
    </xf>
    <xf numFmtId="0" fontId="2" fillId="0" borderId="0" xfId="0" applyFont="1" applyBorder="1" applyAlignment="1"/>
    <xf numFmtId="0" fontId="1" fillId="0" borderId="40" xfId="0" applyFont="1" applyBorder="1" applyAlignment="1">
      <alignment horizontal="left"/>
    </xf>
    <xf numFmtId="0" fontId="0" fillId="0" borderId="0" xfId="0" applyNumberFormat="1"/>
    <xf numFmtId="0" fontId="1" fillId="0" borderId="40" xfId="0" applyFont="1" applyBorder="1"/>
    <xf numFmtId="0" fontId="0" fillId="27" borderId="39" xfId="0" applyFill="1" applyBorder="1" applyAlignment="1">
      <alignment horizontal="center"/>
    </xf>
    <xf numFmtId="0" fontId="0" fillId="24" borderId="3" xfId="0" applyFill="1" applyBorder="1"/>
    <xf numFmtId="0" fontId="0" fillId="24" borderId="3" xfId="0" applyFont="1" applyFill="1" applyBorder="1" applyAlignment="1">
      <alignment horizontal="center" vertical="center"/>
    </xf>
    <xf numFmtId="0" fontId="0" fillId="24" borderId="3" xfId="0" applyFont="1" applyFill="1" applyBorder="1" applyAlignment="1">
      <alignment horizontal="center"/>
    </xf>
    <xf numFmtId="166" fontId="0" fillId="24" borderId="3" xfId="0" applyNumberFormat="1" applyFill="1" applyBorder="1"/>
    <xf numFmtId="0" fontId="0" fillId="23" borderId="3" xfId="0" applyFill="1" applyBorder="1"/>
    <xf numFmtId="0" fontId="0" fillId="23" borderId="3" xfId="0" applyFont="1" applyFill="1" applyBorder="1" applyAlignment="1">
      <alignment horizontal="center" vertical="center"/>
    </xf>
    <xf numFmtId="0" fontId="0" fillId="23" borderId="3" xfId="0" applyFont="1" applyFill="1" applyBorder="1" applyAlignment="1">
      <alignment horizontal="center"/>
    </xf>
    <xf numFmtId="168" fontId="0" fillId="23" borderId="3" xfId="0" applyNumberFormat="1" applyFill="1" applyBorder="1"/>
    <xf numFmtId="166" fontId="0" fillId="23" borderId="3" xfId="0" applyNumberFormat="1" applyFill="1" applyBorder="1"/>
    <xf numFmtId="0" fontId="1" fillId="0" borderId="37" xfId="0" applyFont="1" applyBorder="1"/>
    <xf numFmtId="167" fontId="4" fillId="0" borderId="39" xfId="0" applyNumberFormat="1" applyFont="1" applyBorder="1"/>
    <xf numFmtId="167" fontId="4" fillId="0" borderId="44" xfId="0" applyNumberFormat="1" applyFont="1" applyBorder="1"/>
    <xf numFmtId="0" fontId="1" fillId="0" borderId="0" xfId="0" applyFont="1" applyFill="1" applyBorder="1"/>
    <xf numFmtId="0" fontId="0" fillId="22" borderId="3" xfId="0" applyFont="1" applyFill="1" applyBorder="1" applyAlignment="1">
      <alignment horizontal="center" vertical="center"/>
    </xf>
    <xf numFmtId="0" fontId="0" fillId="22" borderId="3" xfId="0" applyFont="1" applyFill="1" applyBorder="1" applyAlignment="1">
      <alignment horizontal="center"/>
    </xf>
    <xf numFmtId="0" fontId="1" fillId="0" borderId="0" xfId="0" applyFont="1" applyBorder="1" applyAlignment="1">
      <alignment horizontal="center"/>
    </xf>
    <xf numFmtId="0" fontId="0" fillId="0" borderId="0" xfId="0" applyNumberFormat="1" applyFill="1"/>
    <xf numFmtId="0" fontId="1" fillId="0" borderId="40" xfId="0" applyFont="1" applyFill="1" applyBorder="1"/>
    <xf numFmtId="166" fontId="0" fillId="0" borderId="39" xfId="0" applyNumberFormat="1" applyBorder="1" applyAlignment="1">
      <alignment horizontal="center"/>
    </xf>
    <xf numFmtId="1" fontId="0" fillId="0" borderId="39" xfId="0" applyNumberFormat="1" applyBorder="1" applyAlignment="1">
      <alignment horizontal="center"/>
    </xf>
    <xf numFmtId="0" fontId="31" fillId="0" borderId="0" xfId="0" applyFont="1" applyFill="1" applyBorder="1" applyAlignment="1">
      <alignment horizontal="center"/>
    </xf>
    <xf numFmtId="0" fontId="21" fillId="0" borderId="0" xfId="0" applyFont="1" applyFill="1" applyBorder="1"/>
    <xf numFmtId="0" fontId="13" fillId="0" borderId="0" xfId="0" applyFont="1" applyFill="1" applyBorder="1" applyAlignment="1">
      <alignment horizontal="center"/>
    </xf>
    <xf numFmtId="0" fontId="21" fillId="0" borderId="0" xfId="0" applyNumberFormat="1" applyFont="1" applyFill="1" applyBorder="1" applyAlignment="1">
      <alignment horizontal="center"/>
    </xf>
    <xf numFmtId="0" fontId="21" fillId="0" borderId="0" xfId="0" applyFont="1" applyFill="1" applyBorder="1" applyAlignment="1">
      <alignment horizontal="center"/>
    </xf>
    <xf numFmtId="1" fontId="21" fillId="0" borderId="0" xfId="0" applyNumberFormat="1" applyFont="1" applyFill="1" applyBorder="1" applyAlignment="1">
      <alignment horizontal="center"/>
    </xf>
    <xf numFmtId="0" fontId="0" fillId="22" borderId="3" xfId="0" applyFill="1" applyBorder="1" applyAlignment="1">
      <alignment horizontal="center" vertical="center"/>
    </xf>
    <xf numFmtId="0" fontId="0" fillId="22" borderId="3" xfId="0" applyFill="1" applyBorder="1" applyAlignment="1">
      <alignment horizontal="center"/>
    </xf>
    <xf numFmtId="14" fontId="28" fillId="0" borderId="35" xfId="0" applyNumberFormat="1" applyFont="1" applyFill="1" applyBorder="1" applyAlignment="1">
      <alignment horizontal="center" vertical="center" wrapText="1"/>
    </xf>
    <xf numFmtId="0" fontId="5" fillId="0" borderId="3" xfId="0" applyFont="1" applyBorder="1" applyAlignment="1">
      <alignment horizontal="center" vertical="center"/>
    </xf>
    <xf numFmtId="0" fontId="0" fillId="0" borderId="3" xfId="0" applyBorder="1" applyAlignment="1">
      <alignment horizontal="center" vertical="center"/>
    </xf>
    <xf numFmtId="0" fontId="0" fillId="24" borderId="3" xfId="0" applyFont="1" applyFill="1" applyBorder="1" applyAlignment="1">
      <alignment horizontal="right" vertical="center"/>
    </xf>
    <xf numFmtId="168" fontId="0" fillId="24" borderId="3" xfId="0" applyNumberFormat="1" applyFill="1" applyBorder="1"/>
    <xf numFmtId="168" fontId="0" fillId="22" borderId="3" xfId="0" applyNumberFormat="1" applyFill="1" applyBorder="1"/>
    <xf numFmtId="170" fontId="0" fillId="24" borderId="3" xfId="0" applyNumberFormat="1" applyFill="1" applyBorder="1"/>
    <xf numFmtId="170" fontId="0" fillId="23" borderId="3" xfId="0" applyNumberFormat="1" applyFill="1" applyBorder="1"/>
    <xf numFmtId="170" fontId="0" fillId="22" borderId="3" xfId="0" applyNumberFormat="1" applyFill="1" applyBorder="1"/>
    <xf numFmtId="166" fontId="0" fillId="22" borderId="3" xfId="0" applyNumberFormat="1" applyFill="1" applyBorder="1"/>
    <xf numFmtId="0" fontId="32" fillId="0" borderId="0" xfId="27" applyNumberFormat="1" applyFont="1" applyFill="1"/>
    <xf numFmtId="0" fontId="32" fillId="0" borderId="0" xfId="27" applyNumberFormat="1" applyFont="1" applyFill="1" applyBorder="1"/>
    <xf numFmtId="49" fontId="34" fillId="0" borderId="0" xfId="27" applyNumberFormat="1" applyFont="1" applyFill="1" applyBorder="1" applyAlignment="1" applyProtection="1">
      <alignment horizontal="left"/>
      <protection locked="0"/>
    </xf>
    <xf numFmtId="0" fontId="32" fillId="0" borderId="36" xfId="27" applyNumberFormat="1" applyFont="1" applyFill="1" applyBorder="1" applyAlignment="1">
      <alignment horizontal="center"/>
    </xf>
    <xf numFmtId="49" fontId="32" fillId="0" borderId="0" xfId="27" applyNumberFormat="1" applyFont="1" applyFill="1" applyAlignment="1" applyProtection="1">
      <alignment horizontal="left"/>
      <protection locked="0"/>
    </xf>
    <xf numFmtId="49" fontId="35" fillId="0" borderId="0" xfId="27" applyNumberFormat="1" applyFont="1" applyFill="1" applyAlignment="1">
      <alignment horizontal="right"/>
    </xf>
    <xf numFmtId="49" fontId="35" fillId="0" borderId="0" xfId="27" applyNumberFormat="1" applyFont="1" applyFill="1" applyAlignment="1" applyProtection="1">
      <alignment horizontal="left"/>
      <protection locked="0"/>
    </xf>
    <xf numFmtId="49" fontId="32" fillId="0" borderId="0" xfId="27" applyNumberFormat="1" applyFont="1" applyFill="1"/>
    <xf numFmtId="0" fontId="32" fillId="0" borderId="26" xfId="27" applyNumberFormat="1" applyFont="1" applyFill="1" applyBorder="1"/>
    <xf numFmtId="49" fontId="38" fillId="0" borderId="65" xfId="27" applyNumberFormat="1" applyFont="1" applyFill="1" applyBorder="1" applyAlignment="1">
      <alignment vertical="center"/>
    </xf>
    <xf numFmtId="49" fontId="38" fillId="0" borderId="53" xfId="27" applyNumberFormat="1" applyFont="1" applyFill="1" applyBorder="1" applyAlignment="1">
      <alignment horizontal="center" vertical="center"/>
    </xf>
    <xf numFmtId="49" fontId="40" fillId="0" borderId="53" xfId="27" applyNumberFormat="1" applyFont="1" applyFill="1" applyBorder="1" applyAlignment="1" applyProtection="1">
      <alignment vertical="center"/>
      <protection locked="0"/>
    </xf>
    <xf numFmtId="49" fontId="38" fillId="0" borderId="53" xfId="27" applyNumberFormat="1" applyFont="1" applyFill="1" applyBorder="1" applyAlignment="1">
      <alignment horizontal="right" vertical="center"/>
    </xf>
    <xf numFmtId="49" fontId="34" fillId="0" borderId="27" xfId="27" applyNumberFormat="1" applyFont="1" applyFill="1" applyBorder="1" applyAlignment="1" applyProtection="1">
      <alignment vertical="center"/>
      <protection locked="0"/>
    </xf>
    <xf numFmtId="49" fontId="34" fillId="0" borderId="0" xfId="27" applyNumberFormat="1" applyFont="1" applyFill="1" applyBorder="1" applyAlignment="1" applyProtection="1">
      <alignment vertical="center"/>
      <protection locked="0"/>
    </xf>
    <xf numFmtId="49" fontId="38" fillId="0" borderId="0" xfId="27" applyNumberFormat="1" applyFont="1" applyFill="1" applyBorder="1" applyAlignment="1">
      <alignment horizontal="center" vertical="center"/>
    </xf>
    <xf numFmtId="0" fontId="14" fillId="0" borderId="0" xfId="0" applyFont="1" applyFill="1" applyBorder="1" applyProtection="1">
      <protection locked="0"/>
    </xf>
    <xf numFmtId="0" fontId="14" fillId="0" borderId="5" xfId="0" applyFont="1" applyFill="1" applyBorder="1" applyAlignment="1" applyProtection="1">
      <protection locked="0"/>
    </xf>
    <xf numFmtId="0" fontId="10" fillId="0" borderId="23" xfId="0" applyFont="1" applyFill="1" applyBorder="1" applyAlignment="1" applyProtection="1">
      <alignment horizontal="left"/>
      <protection locked="0"/>
    </xf>
    <xf numFmtId="0" fontId="1" fillId="0" borderId="0" xfId="0" applyFont="1" applyProtection="1">
      <protection locked="0"/>
    </xf>
    <xf numFmtId="0" fontId="14" fillId="0" borderId="24" xfId="0" applyFont="1" applyFill="1" applyBorder="1" applyAlignment="1" applyProtection="1">
      <protection locked="0"/>
    </xf>
    <xf numFmtId="0" fontId="10" fillId="0" borderId="0" xfId="0" applyFont="1" applyFill="1" applyBorder="1" applyAlignment="1" applyProtection="1">
      <alignment horizontal="left"/>
      <protection locked="0"/>
    </xf>
    <xf numFmtId="0" fontId="14" fillId="0" borderId="24" xfId="0" applyFont="1" applyFill="1" applyBorder="1" applyProtection="1">
      <protection locked="0"/>
    </xf>
    <xf numFmtId="0" fontId="14" fillId="0" borderId="25" xfId="0" applyFont="1" applyFill="1" applyBorder="1" applyAlignment="1" applyProtection="1">
      <alignment horizontal="left"/>
      <protection locked="0"/>
    </xf>
    <xf numFmtId="0" fontId="16" fillId="0" borderId="0" xfId="0" applyFont="1" applyFill="1" applyBorder="1" applyProtection="1">
      <protection locked="0"/>
    </xf>
    <xf numFmtId="0" fontId="16" fillId="0" borderId="7" xfId="0" applyFont="1" applyFill="1" applyBorder="1" applyProtection="1">
      <protection locked="0"/>
    </xf>
    <xf numFmtId="0" fontId="16" fillId="0" borderId="8" xfId="0" applyFont="1" applyFill="1" applyBorder="1" applyProtection="1">
      <protection locked="0"/>
    </xf>
    <xf numFmtId="0" fontId="19" fillId="0" borderId="9" xfId="0" applyFont="1" applyFill="1" applyBorder="1" applyAlignment="1" applyProtection="1">
      <alignment horizontal="center"/>
      <protection locked="0"/>
    </xf>
    <xf numFmtId="0" fontId="0" fillId="0" borderId="0" xfId="0" applyProtection="1">
      <protection locked="0"/>
    </xf>
    <xf numFmtId="0" fontId="16" fillId="0" borderId="0" xfId="0" applyFont="1" applyFill="1" applyBorder="1" applyAlignment="1" applyProtection="1">
      <alignment horizontal="center"/>
      <protection locked="0"/>
    </xf>
    <xf numFmtId="0" fontId="14" fillId="0" borderId="0" xfId="0" applyFont="1" applyFill="1" applyBorder="1" applyAlignment="1" applyProtection="1">
      <alignment horizontal="right"/>
      <protection locked="0"/>
    </xf>
    <xf numFmtId="0" fontId="16" fillId="0" borderId="5" xfId="0" applyFont="1" applyFill="1" applyBorder="1" applyProtection="1">
      <protection locked="0"/>
    </xf>
    <xf numFmtId="0" fontId="14" fillId="0" borderId="23" xfId="0" applyFont="1" applyFill="1" applyBorder="1" applyProtection="1">
      <protection locked="0"/>
    </xf>
    <xf numFmtId="0" fontId="16" fillId="0" borderId="23" xfId="0" applyFont="1" applyFill="1" applyBorder="1" applyProtection="1">
      <protection locked="0"/>
    </xf>
    <xf numFmtId="0" fontId="14" fillId="0" borderId="6" xfId="0" applyFont="1" applyFill="1" applyBorder="1" applyAlignment="1" applyProtection="1">
      <alignment horizontal="left"/>
      <protection locked="0"/>
    </xf>
    <xf numFmtId="0" fontId="16" fillId="0" borderId="24" xfId="0" applyFont="1" applyFill="1" applyBorder="1" applyProtection="1">
      <protection locked="0"/>
    </xf>
    <xf numFmtId="0" fontId="16" fillId="0" borderId="25" xfId="0" applyFont="1" applyFill="1" applyBorder="1" applyProtection="1">
      <protection locked="0"/>
    </xf>
    <xf numFmtId="0" fontId="9" fillId="0" borderId="24" xfId="1" applyFont="1" applyFill="1" applyBorder="1" applyProtection="1">
      <alignment horizontal="center"/>
      <protection locked="0"/>
    </xf>
    <xf numFmtId="0" fontId="16" fillId="0" borderId="0" xfId="0" applyFont="1" applyFill="1" applyBorder="1" applyAlignment="1" applyProtection="1">
      <alignment horizontal="right"/>
      <protection locked="0"/>
    </xf>
    <xf numFmtId="0" fontId="16" fillId="0" borderId="0" xfId="0" applyFont="1" applyFill="1" applyBorder="1" applyAlignment="1" applyProtection="1">
      <protection locked="0"/>
    </xf>
    <xf numFmtId="0" fontId="10" fillId="0" borderId="0" xfId="4" applyFont="1" applyFill="1" applyBorder="1" applyAlignment="1" applyProtection="1">
      <protection locked="0"/>
    </xf>
    <xf numFmtId="0" fontId="16" fillId="0" borderId="0" xfId="0" applyFont="1" applyFill="1" applyBorder="1" applyAlignment="1" applyProtection="1">
      <alignment horizontal="center" vertical="center"/>
      <protection locked="0"/>
    </xf>
    <xf numFmtId="0" fontId="0" fillId="0" borderId="3" xfId="0" applyBorder="1" applyProtection="1">
      <protection locked="0"/>
    </xf>
    <xf numFmtId="0" fontId="1" fillId="0" borderId="3" xfId="0" applyFont="1" applyBorder="1" applyAlignment="1" applyProtection="1">
      <alignment horizontal="center"/>
      <protection locked="0"/>
    </xf>
    <xf numFmtId="0" fontId="23" fillId="0" borderId="0" xfId="0" applyFont="1" applyFill="1" applyBorder="1" applyAlignment="1" applyProtection="1">
      <alignment horizontal="right"/>
      <protection locked="0"/>
    </xf>
    <xf numFmtId="0" fontId="10" fillId="18" borderId="26" xfId="4" applyFont="1" applyFill="1" applyBorder="1" applyAlignment="1" applyProtection="1">
      <protection locked="0"/>
    </xf>
    <xf numFmtId="0" fontId="10" fillId="18" borderId="0" xfId="8" applyFont="1" applyFill="1" applyBorder="1" applyAlignment="1" applyProtection="1">
      <alignment horizontal="center" vertical="center"/>
      <protection locked="0"/>
    </xf>
    <xf numFmtId="0" fontId="10" fillId="18" borderId="27" xfId="4" applyFont="1" applyFill="1" applyBorder="1" applyAlignment="1" applyProtection="1">
      <protection locked="0"/>
    </xf>
    <xf numFmtId="0" fontId="23" fillId="0" borderId="0" xfId="0" applyFont="1" applyFill="1" applyBorder="1" applyProtection="1">
      <protection locked="0"/>
    </xf>
    <xf numFmtId="0" fontId="23" fillId="0" borderId="0" xfId="0" applyFont="1" applyFill="1" applyBorder="1" applyAlignment="1" applyProtection="1">
      <alignment horizontal="center"/>
      <protection locked="0"/>
    </xf>
    <xf numFmtId="165" fontId="23" fillId="0" borderId="0" xfId="7" applyFont="1" applyFill="1" applyBorder="1" applyProtection="1">
      <alignment horizontal="center"/>
      <protection locked="0"/>
    </xf>
    <xf numFmtId="0" fontId="23" fillId="0" borderId="25" xfId="0" applyFont="1" applyFill="1" applyBorder="1" applyProtection="1">
      <protection locked="0"/>
    </xf>
    <xf numFmtId="0" fontId="14" fillId="20" borderId="0" xfId="0" applyFont="1" applyFill="1" applyBorder="1" applyAlignment="1" applyProtection="1">
      <alignment horizontal="center"/>
      <protection locked="0"/>
    </xf>
    <xf numFmtId="0" fontId="20" fillId="0" borderId="24" xfId="0" applyFont="1" applyFill="1" applyBorder="1" applyAlignment="1" applyProtection="1">
      <protection locked="0"/>
    </xf>
    <xf numFmtId="0" fontId="14" fillId="14" borderId="0" xfId="10" applyFont="1" applyFill="1" applyBorder="1" applyProtection="1">
      <protection locked="0"/>
    </xf>
    <xf numFmtId="0" fontId="17" fillId="14" borderId="0" xfId="11" applyFont="1" applyFill="1" applyBorder="1" applyProtection="1">
      <protection locked="0"/>
    </xf>
    <xf numFmtId="0" fontId="16" fillId="0" borderId="24" xfId="12" applyFont="1" applyFill="1" applyBorder="1" applyProtection="1">
      <alignment horizontal="center"/>
      <protection locked="0"/>
    </xf>
    <xf numFmtId="165" fontId="17" fillId="0" borderId="0" xfId="13" applyFont="1" applyFill="1" applyBorder="1" applyProtection="1">
      <alignment horizontal="center"/>
      <protection locked="0"/>
    </xf>
    <xf numFmtId="0" fontId="17" fillId="0" borderId="0" xfId="2" applyFont="1" applyFill="1" applyBorder="1" applyProtection="1">
      <protection locked="0"/>
    </xf>
    <xf numFmtId="0" fontId="23" fillId="0" borderId="25" xfId="0" applyFont="1" applyFill="1" applyBorder="1" applyAlignment="1" applyProtection="1">
      <alignment horizontal="center"/>
      <protection locked="0"/>
    </xf>
    <xf numFmtId="0" fontId="16" fillId="0" borderId="24" xfId="0" applyFont="1" applyFill="1" applyBorder="1" applyAlignment="1" applyProtection="1">
      <alignment horizontal="center"/>
      <protection locked="0"/>
    </xf>
    <xf numFmtId="0" fontId="23" fillId="0" borderId="25" xfId="0" applyFont="1" applyFill="1" applyBorder="1" applyAlignment="1" applyProtection="1">
      <alignment horizontal="left"/>
      <protection locked="0"/>
    </xf>
    <xf numFmtId="0" fontId="16" fillId="0" borderId="0" xfId="0" applyFont="1" applyFill="1" applyBorder="1" applyAlignment="1" applyProtection="1">
      <alignment wrapText="1"/>
      <protection locked="0"/>
    </xf>
    <xf numFmtId="165" fontId="9" fillId="0" borderId="0" xfId="14" applyFont="1" applyFill="1" applyBorder="1" applyProtection="1">
      <alignment horizontal="center"/>
      <protection locked="0"/>
    </xf>
    <xf numFmtId="0" fontId="17" fillId="14" borderId="0" xfId="15" applyFont="1" applyFill="1" applyBorder="1" applyProtection="1">
      <protection locked="0"/>
    </xf>
    <xf numFmtId="165" fontId="17" fillId="14" borderId="0" xfId="16" applyFont="1" applyFill="1" applyBorder="1" applyProtection="1">
      <alignment horizontal="center"/>
      <protection locked="0"/>
    </xf>
    <xf numFmtId="0" fontId="17" fillId="0" borderId="0" xfId="17" applyFont="1" applyFill="1" applyBorder="1" applyProtection="1">
      <alignment horizontal="center"/>
      <protection locked="0"/>
    </xf>
    <xf numFmtId="0" fontId="16" fillId="0" borderId="25" xfId="0" applyFont="1" applyFill="1" applyBorder="1" applyAlignment="1" applyProtection="1">
      <alignment horizontal="left"/>
      <protection locked="0"/>
    </xf>
    <xf numFmtId="165" fontId="17" fillId="14" borderId="0" xfId="3" applyFont="1" applyFill="1" applyBorder="1" applyProtection="1">
      <alignment horizontal="center"/>
      <protection locked="0"/>
    </xf>
    <xf numFmtId="0" fontId="14" fillId="14" borderId="13" xfId="18" applyFont="1" applyFill="1" applyBorder="1" applyProtection="1">
      <alignment horizontal="center" vertical="center"/>
      <protection locked="0"/>
    </xf>
    <xf numFmtId="0" fontId="14" fillId="14" borderId="0" xfId="18" applyFont="1" applyFill="1" applyBorder="1" applyProtection="1">
      <alignment horizontal="center" vertical="center"/>
      <protection locked="0"/>
    </xf>
    <xf numFmtId="165" fontId="14" fillId="15" borderId="13" xfId="19" applyFont="1" applyFill="1" applyBorder="1" applyProtection="1">
      <alignment horizontal="center"/>
      <protection locked="0"/>
    </xf>
    <xf numFmtId="165" fontId="14" fillId="15" borderId="0" xfId="19" applyFont="1" applyFill="1" applyBorder="1" applyProtection="1">
      <alignment horizontal="center"/>
      <protection locked="0"/>
    </xf>
    <xf numFmtId="0" fontId="9" fillId="0" borderId="24" xfId="20" applyFont="1" applyFill="1" applyBorder="1" applyProtection="1">
      <alignment horizontal="center"/>
      <protection locked="0"/>
    </xf>
    <xf numFmtId="0" fontId="23" fillId="0" borderId="0" xfId="21" applyFont="1" applyFill="1" applyBorder="1" applyProtection="1">
      <alignment horizontal="center"/>
      <protection locked="0"/>
    </xf>
    <xf numFmtId="165" fontId="14" fillId="16" borderId="13" xfId="22" applyFont="1" applyFill="1" applyBorder="1" applyProtection="1">
      <alignment horizontal="center"/>
      <protection locked="0"/>
    </xf>
    <xf numFmtId="165" fontId="14" fillId="16" borderId="0" xfId="22" applyFont="1" applyFill="1" applyBorder="1" applyProtection="1">
      <alignment horizontal="center"/>
      <protection locked="0"/>
    </xf>
    <xf numFmtId="0" fontId="18" fillId="14" borderId="0" xfId="25" applyFont="1" applyFill="1" applyBorder="1" applyAlignment="1" applyProtection="1">
      <alignment vertical="center"/>
      <protection locked="0"/>
    </xf>
    <xf numFmtId="165" fontId="14" fillId="17" borderId="13" xfId="24" applyFont="1" applyFill="1" applyBorder="1" applyProtection="1">
      <alignment horizontal="center"/>
      <protection locked="0"/>
    </xf>
    <xf numFmtId="165" fontId="14" fillId="17" borderId="0" xfId="24" applyFont="1" applyFill="1" applyBorder="1" applyProtection="1">
      <alignment horizontal="center"/>
      <protection locked="0"/>
    </xf>
    <xf numFmtId="0" fontId="14" fillId="18" borderId="13" xfId="9" applyFont="1" applyFill="1" applyBorder="1" applyProtection="1">
      <alignment horizontal="center" vertical="center"/>
      <protection locked="0"/>
    </xf>
    <xf numFmtId="0" fontId="14" fillId="18" borderId="0" xfId="9" applyFont="1" applyFill="1" applyBorder="1" applyProtection="1">
      <alignment horizontal="center" vertical="center"/>
      <protection locked="0"/>
    </xf>
    <xf numFmtId="165" fontId="14" fillId="19" borderId="13" xfId="26" applyFont="1" applyFill="1" applyBorder="1" applyProtection="1">
      <alignment horizontal="center" vertical="center"/>
      <protection locked="0"/>
    </xf>
    <xf numFmtId="165" fontId="14" fillId="19" borderId="0" xfId="26" applyFont="1" applyFill="1" applyBorder="1" applyProtection="1">
      <alignment horizontal="center" vertical="center"/>
      <protection locked="0"/>
    </xf>
    <xf numFmtId="0" fontId="9" fillId="3" borderId="0" xfId="0" applyFont="1" applyFill="1" applyBorder="1" applyProtection="1">
      <protection locked="0"/>
    </xf>
    <xf numFmtId="0" fontId="14" fillId="20" borderId="13" xfId="0" applyFont="1" applyFill="1" applyBorder="1" applyAlignment="1" applyProtection="1">
      <alignment horizontal="center"/>
      <protection locked="0"/>
    </xf>
    <xf numFmtId="0" fontId="16" fillId="0" borderId="9" xfId="0" applyFont="1" applyFill="1" applyBorder="1" applyProtection="1">
      <protection locked="0"/>
    </xf>
    <xf numFmtId="0" fontId="14" fillId="0" borderId="0" xfId="0" applyFont="1" applyFill="1" applyBorder="1" applyAlignment="1" applyProtection="1">
      <protection locked="0"/>
    </xf>
    <xf numFmtId="0" fontId="25" fillId="26" borderId="32" xfId="0" applyFont="1" applyFill="1" applyBorder="1" applyAlignment="1">
      <alignment vertical="center" wrapText="1"/>
    </xf>
    <xf numFmtId="0" fontId="25" fillId="26" borderId="34" xfId="0" applyFont="1" applyFill="1" applyBorder="1" applyAlignment="1">
      <alignment vertical="center" wrapText="1"/>
    </xf>
    <xf numFmtId="0" fontId="28" fillId="26" borderId="35" xfId="0" applyFont="1" applyFill="1" applyBorder="1" applyAlignment="1">
      <alignment horizontal="center" vertical="center" wrapText="1"/>
    </xf>
    <xf numFmtId="0" fontId="25" fillId="26" borderId="4" xfId="0" applyFont="1" applyFill="1" applyBorder="1" applyAlignment="1">
      <alignment vertical="center" wrapText="1"/>
    </xf>
    <xf numFmtId="0" fontId="4" fillId="2" borderId="3" xfId="0" applyFont="1" applyFill="1" applyBorder="1" applyAlignment="1" applyProtection="1">
      <alignment horizontal="center"/>
      <protection locked="0"/>
    </xf>
    <xf numFmtId="0" fontId="4" fillId="0" borderId="0" xfId="0" applyFont="1" applyProtection="1">
      <protection locked="0"/>
    </xf>
    <xf numFmtId="165" fontId="41" fillId="0" borderId="0" xfId="0" applyNumberFormat="1" applyFont="1" applyFill="1" applyBorder="1" applyAlignment="1" applyProtection="1">
      <alignment horizontal="center"/>
      <protection locked="0"/>
    </xf>
    <xf numFmtId="165" fontId="23" fillId="0" borderId="0" xfId="0" applyNumberFormat="1" applyFont="1" applyFill="1" applyBorder="1" applyProtection="1">
      <protection locked="0"/>
    </xf>
    <xf numFmtId="165" fontId="23" fillId="0" borderId="0" xfId="7" applyNumberFormat="1" applyFont="1" applyFill="1" applyBorder="1" applyProtection="1">
      <alignment horizontal="center"/>
      <protection locked="0"/>
    </xf>
    <xf numFmtId="165" fontId="23" fillId="0" borderId="0" xfId="0" applyNumberFormat="1" applyFont="1" applyFill="1" applyBorder="1" applyAlignment="1" applyProtection="1">
      <alignment horizontal="center"/>
      <protection locked="0"/>
    </xf>
    <xf numFmtId="165" fontId="16" fillId="0" borderId="0" xfId="0" applyNumberFormat="1" applyFont="1" applyFill="1" applyBorder="1" applyProtection="1">
      <protection locked="0"/>
    </xf>
    <xf numFmtId="165" fontId="16" fillId="0" borderId="0" xfId="0" applyNumberFormat="1" applyFont="1" applyFill="1" applyBorder="1" applyAlignment="1" applyProtection="1">
      <alignment horizontal="center"/>
      <protection locked="0"/>
    </xf>
    <xf numFmtId="0" fontId="42" fillId="0" borderId="24" xfId="1" applyFont="1" applyFill="1" applyBorder="1" applyProtection="1">
      <alignment horizontal="center"/>
      <protection locked="0"/>
    </xf>
    <xf numFmtId="0" fontId="0" fillId="27" borderId="3" xfId="0" applyFill="1" applyBorder="1" applyAlignment="1">
      <alignment horizontal="center"/>
    </xf>
    <xf numFmtId="165" fontId="15" fillId="30" borderId="13" xfId="23" applyFont="1" applyFill="1" applyBorder="1" applyProtection="1">
      <alignment horizontal="center" vertical="center" wrapText="1"/>
      <protection locked="0"/>
    </xf>
    <xf numFmtId="165" fontId="15" fillId="30" borderId="0" xfId="23" applyFont="1" applyFill="1" applyBorder="1" applyProtection="1">
      <alignment horizontal="center" vertical="center" wrapText="1"/>
      <protection locked="0"/>
    </xf>
    <xf numFmtId="0" fontId="0" fillId="0" borderId="3" xfId="0" applyFill="1" applyBorder="1" applyAlignment="1">
      <alignment horizontal="center" vertical="center"/>
    </xf>
    <xf numFmtId="49" fontId="37" fillId="0" borderId="0" xfId="27" applyNumberFormat="1" applyFont="1" applyFill="1" applyBorder="1" applyAlignment="1">
      <alignment horizontal="left"/>
    </xf>
    <xf numFmtId="14" fontId="0" fillId="0" borderId="0" xfId="0" applyNumberFormat="1" applyAlignment="1">
      <alignment horizontal="center"/>
    </xf>
    <xf numFmtId="0" fontId="0" fillId="0" borderId="0" xfId="0" applyBorder="1"/>
    <xf numFmtId="0" fontId="1" fillId="0" borderId="37" xfId="0" applyFont="1" applyBorder="1" applyAlignment="1">
      <alignment horizontal="center" vertical="center" wrapText="1"/>
    </xf>
    <xf numFmtId="0" fontId="1" fillId="0" borderId="69" xfId="0" applyFont="1" applyBorder="1" applyAlignment="1">
      <alignment horizontal="center" vertical="center" wrapText="1"/>
    </xf>
    <xf numFmtId="0" fontId="1" fillId="0" borderId="38" xfId="0" applyFont="1" applyBorder="1" applyAlignment="1">
      <alignment horizontal="center" vertical="center" wrapText="1"/>
    </xf>
    <xf numFmtId="0" fontId="0" fillId="0" borderId="0" xfId="0" applyAlignment="1">
      <alignment horizontal="center" vertical="center" wrapText="1"/>
    </xf>
    <xf numFmtId="0" fontId="1" fillId="0" borderId="40" xfId="0" applyFont="1" applyBorder="1" applyAlignment="1">
      <alignment horizontal="center" vertical="center" wrapText="1"/>
    </xf>
    <xf numFmtId="49" fontId="0" fillId="0" borderId="3" xfId="0" applyNumberFormat="1" applyBorder="1" applyAlignment="1">
      <alignment horizontal="center" vertical="center"/>
    </xf>
    <xf numFmtId="49" fontId="0" fillId="0" borderId="39" xfId="0" applyNumberFormat="1" applyBorder="1" applyAlignment="1">
      <alignment horizontal="center" vertical="center"/>
    </xf>
    <xf numFmtId="0" fontId="0" fillId="0" borderId="0" xfId="0" applyAlignment="1">
      <alignment horizontal="center" vertical="center"/>
    </xf>
    <xf numFmtId="0" fontId="1" fillId="0" borderId="43" xfId="0" applyFont="1" applyBorder="1" applyAlignment="1">
      <alignment horizontal="center" vertical="center" wrapText="1"/>
    </xf>
    <xf numFmtId="49" fontId="0" fillId="0" borderId="70" xfId="0" applyNumberFormat="1" applyBorder="1" applyAlignment="1">
      <alignment horizontal="center" vertical="center"/>
    </xf>
    <xf numFmtId="49" fontId="0" fillId="0" borderId="44" xfId="0" applyNumberFormat="1" applyBorder="1" applyAlignment="1">
      <alignment horizontal="center" vertical="center"/>
    </xf>
    <xf numFmtId="0" fontId="1" fillId="0" borderId="0" xfId="0" applyFont="1" applyAlignment="1">
      <alignment horizontal="center" vertical="center"/>
    </xf>
    <xf numFmtId="0" fontId="0" fillId="0" borderId="0" xfId="0" applyBorder="1" applyAlignment="1">
      <alignment horizontal="center" vertical="center"/>
    </xf>
    <xf numFmtId="0" fontId="4" fillId="0" borderId="3" xfId="0" applyFont="1" applyBorder="1" applyAlignment="1">
      <alignment horizontal="center" vertical="center"/>
    </xf>
    <xf numFmtId="0" fontId="0" fillId="0" borderId="39" xfId="0" applyNumberFormat="1" applyFill="1" applyBorder="1" applyAlignment="1">
      <alignment horizontal="center"/>
    </xf>
    <xf numFmtId="0" fontId="0" fillId="0" borderId="39" xfId="0" applyBorder="1" applyAlignment="1">
      <alignment horizontal="center"/>
    </xf>
    <xf numFmtId="0" fontId="1" fillId="0" borderId="40" xfId="0" applyFont="1" applyFill="1" applyBorder="1" applyAlignment="1">
      <alignment horizontal="left"/>
    </xf>
    <xf numFmtId="0" fontId="0" fillId="0" borderId="0" xfId="0" applyFont="1"/>
    <xf numFmtId="0" fontId="0" fillId="0" borderId="0" xfId="0" applyAlignment="1">
      <alignment wrapText="1"/>
    </xf>
    <xf numFmtId="0" fontId="0" fillId="0" borderId="38" xfId="0" applyNumberFormat="1" applyFill="1" applyBorder="1" applyAlignment="1">
      <alignment horizontal="center"/>
    </xf>
    <xf numFmtId="2" fontId="0" fillId="0" borderId="39" xfId="0" applyNumberFormat="1" applyBorder="1" applyAlignment="1">
      <alignment horizontal="center"/>
    </xf>
    <xf numFmtId="1" fontId="0" fillId="28" borderId="39" xfId="0" applyNumberFormat="1" applyFill="1" applyBorder="1" applyAlignment="1">
      <alignment horizontal="center"/>
    </xf>
    <xf numFmtId="0" fontId="1" fillId="0" borderId="43" xfId="0" applyFont="1" applyBorder="1" applyAlignment="1">
      <alignment horizontal="left"/>
    </xf>
    <xf numFmtId="0" fontId="0" fillId="0" borderId="44" xfId="0" applyBorder="1" applyAlignment="1">
      <alignment horizontal="center"/>
    </xf>
    <xf numFmtId="0" fontId="0" fillId="0" borderId="0" xfId="0" applyAlignment="1">
      <alignment horizontal="right"/>
    </xf>
    <xf numFmtId="0" fontId="0" fillId="2" borderId="3" xfId="0" quotePrefix="1" applyFill="1" applyBorder="1" applyAlignment="1">
      <alignment horizontal="center"/>
    </xf>
    <xf numFmtId="0" fontId="1" fillId="0" borderId="0" xfId="0" applyFont="1" applyFill="1"/>
    <xf numFmtId="0" fontId="14" fillId="20" borderId="26" xfId="0" applyFont="1" applyFill="1" applyBorder="1" applyAlignment="1" applyProtection="1">
      <alignment horizontal="center"/>
      <protection locked="0"/>
    </xf>
    <xf numFmtId="0" fontId="14" fillId="14" borderId="26" xfId="9" applyFont="1" applyFill="1" applyBorder="1" applyAlignment="1" applyProtection="1">
      <alignment vertical="center"/>
      <protection locked="0"/>
    </xf>
    <xf numFmtId="0" fontId="16" fillId="14" borderId="26" xfId="0" applyFont="1" applyFill="1" applyBorder="1" applyAlignment="1" applyProtection="1">
      <protection locked="0"/>
    </xf>
    <xf numFmtId="0" fontId="14" fillId="14" borderId="26" xfId="9" applyFont="1" applyFill="1" applyBorder="1" applyAlignment="1" applyProtection="1">
      <alignment vertical="center" wrapText="1"/>
      <protection locked="0"/>
    </xf>
    <xf numFmtId="0" fontId="14" fillId="14" borderId="26" xfId="0" applyFont="1" applyFill="1" applyBorder="1" applyAlignment="1" applyProtection="1">
      <protection locked="0"/>
    </xf>
    <xf numFmtId="0" fontId="16" fillId="14" borderId="26" xfId="0" applyFont="1" applyFill="1" applyBorder="1" applyProtection="1">
      <protection locked="0"/>
    </xf>
    <xf numFmtId="0" fontId="16" fillId="14" borderId="26" xfId="0" applyFont="1" applyFill="1" applyBorder="1" applyAlignment="1" applyProtection="1">
      <alignment vertical="center"/>
      <protection locked="0"/>
    </xf>
    <xf numFmtId="165" fontId="15" fillId="14" borderId="26" xfId="23" applyFont="1" applyFill="1" applyBorder="1" applyAlignment="1" applyProtection="1">
      <alignment vertical="center" wrapText="1"/>
      <protection locked="0"/>
    </xf>
    <xf numFmtId="165" fontId="15" fillId="14" borderId="26" xfId="23" applyFont="1" applyFill="1" applyBorder="1" applyProtection="1">
      <alignment horizontal="center" vertical="center" wrapText="1"/>
      <protection locked="0"/>
    </xf>
    <xf numFmtId="0" fontId="18" fillId="14" borderId="26" xfId="25" applyFont="1" applyFill="1" applyBorder="1" applyAlignment="1" applyProtection="1">
      <alignment vertical="center"/>
      <protection locked="0"/>
    </xf>
    <xf numFmtId="0" fontId="14" fillId="20" borderId="27" xfId="0" applyFont="1" applyFill="1" applyBorder="1" applyAlignment="1" applyProtection="1">
      <alignment horizontal="center"/>
      <protection locked="0"/>
    </xf>
    <xf numFmtId="0" fontId="14" fillId="14" borderId="27" xfId="9" applyFont="1" applyFill="1" applyBorder="1" applyAlignment="1" applyProtection="1">
      <alignment vertical="center"/>
      <protection locked="0"/>
    </xf>
    <xf numFmtId="0" fontId="14" fillId="14" borderId="27" xfId="9" applyFont="1" applyFill="1" applyBorder="1" applyAlignment="1" applyProtection="1">
      <alignment vertical="center" wrapText="1"/>
      <protection locked="0"/>
    </xf>
    <xf numFmtId="0" fontId="14" fillId="14" borderId="27" xfId="0" applyFont="1" applyFill="1" applyBorder="1" applyAlignment="1" applyProtection="1">
      <protection locked="0"/>
    </xf>
    <xf numFmtId="0" fontId="16" fillId="14" borderId="27" xfId="0" applyFont="1" applyFill="1" applyBorder="1" applyProtection="1">
      <protection locked="0"/>
    </xf>
    <xf numFmtId="165" fontId="15" fillId="14" borderId="27" xfId="23" applyFont="1" applyFill="1" applyBorder="1" applyAlignment="1" applyProtection="1">
      <alignment vertical="center" wrapText="1"/>
      <protection locked="0"/>
    </xf>
    <xf numFmtId="165" fontId="15" fillId="14" borderId="27" xfId="23" applyFont="1" applyFill="1" applyBorder="1" applyProtection="1">
      <alignment horizontal="center" vertical="center" wrapText="1"/>
      <protection locked="0"/>
    </xf>
    <xf numFmtId="0" fontId="18" fillId="14" borderId="27" xfId="25" applyFont="1" applyFill="1" applyBorder="1" applyAlignment="1" applyProtection="1">
      <alignment vertical="center"/>
      <protection locked="0"/>
    </xf>
    <xf numFmtId="1" fontId="1" fillId="0" borderId="0" xfId="0" applyNumberFormat="1" applyFont="1" applyBorder="1" applyAlignment="1">
      <alignment horizontal="center" vertical="center"/>
    </xf>
    <xf numFmtId="0" fontId="9" fillId="0" borderId="24" xfId="0" applyFont="1" applyFill="1" applyBorder="1" applyAlignment="1" applyProtection="1">
      <protection locked="0"/>
    </xf>
    <xf numFmtId="165" fontId="9" fillId="0" borderId="24" xfId="14" applyFont="1" applyFill="1" applyBorder="1" applyAlignment="1" applyProtection="1">
      <protection locked="0"/>
    </xf>
    <xf numFmtId="165" fontId="9" fillId="0" borderId="0" xfId="14" applyFont="1" applyFill="1" applyBorder="1" applyAlignment="1" applyProtection="1">
      <protection locked="0"/>
    </xf>
    <xf numFmtId="0" fontId="0" fillId="0" borderId="72" xfId="0" applyBorder="1" applyAlignment="1">
      <alignment horizontal="center" vertical="center"/>
    </xf>
    <xf numFmtId="0" fontId="0" fillId="0" borderId="73" xfId="0" applyBorder="1" applyAlignment="1">
      <alignment horizontal="center" vertical="center"/>
    </xf>
    <xf numFmtId="0" fontId="0" fillId="0" borderId="73" xfId="0" applyBorder="1" applyAlignment="1">
      <alignment horizontal="center" vertical="center" wrapText="1"/>
    </xf>
    <xf numFmtId="0" fontId="0" fillId="0" borderId="73" xfId="0" applyFill="1" applyBorder="1" applyAlignment="1">
      <alignment horizontal="center" vertical="center" wrapText="1"/>
    </xf>
    <xf numFmtId="0" fontId="0" fillId="0" borderId="74" xfId="0" applyFill="1" applyBorder="1" applyAlignment="1">
      <alignment horizontal="center" vertical="center" wrapText="1"/>
    </xf>
    <xf numFmtId="0" fontId="17" fillId="31" borderId="66" xfId="0" applyFont="1" applyFill="1" applyBorder="1" applyAlignment="1">
      <alignment horizontal="center" vertical="center"/>
    </xf>
    <xf numFmtId="0" fontId="17" fillId="31" borderId="66" xfId="0" applyFont="1" applyFill="1" applyBorder="1" applyAlignment="1">
      <alignment horizontal="center" vertical="center" wrapText="1"/>
    </xf>
    <xf numFmtId="0" fontId="17" fillId="31" borderId="42" xfId="0" applyFont="1" applyFill="1" applyBorder="1" applyAlignment="1">
      <alignment horizontal="center" vertical="center" wrapText="1"/>
    </xf>
    <xf numFmtId="0" fontId="17" fillId="31" borderId="3" xfId="0" applyFont="1" applyFill="1" applyBorder="1" applyAlignment="1">
      <alignment horizontal="center" vertical="center"/>
    </xf>
    <xf numFmtId="0" fontId="17" fillId="31" borderId="3" xfId="0" applyFont="1" applyFill="1" applyBorder="1" applyAlignment="1">
      <alignment horizontal="center" vertical="center" wrapText="1"/>
    </xf>
    <xf numFmtId="0" fontId="17" fillId="31" borderId="39" xfId="0" applyFont="1" applyFill="1" applyBorder="1" applyAlignment="1">
      <alignment horizontal="center" vertical="center" wrapText="1"/>
    </xf>
    <xf numFmtId="0" fontId="0" fillId="31" borderId="77" xfId="0" applyFill="1" applyBorder="1" applyAlignment="1">
      <alignment horizontal="center" vertical="center"/>
    </xf>
    <xf numFmtId="0" fontId="17" fillId="31" borderId="77" xfId="0" applyFont="1" applyFill="1" applyBorder="1" applyAlignment="1">
      <alignment horizontal="center" vertical="center" wrapText="1"/>
    </xf>
    <xf numFmtId="0" fontId="17" fillId="31" borderId="41" xfId="0" applyFont="1" applyFill="1" applyBorder="1" applyAlignment="1">
      <alignment horizontal="center" vertical="center" wrapText="1"/>
    </xf>
    <xf numFmtId="0" fontId="17" fillId="32" borderId="3" xfId="0" applyFont="1" applyFill="1" applyBorder="1" applyAlignment="1">
      <alignment horizontal="center" vertical="center"/>
    </xf>
    <xf numFmtId="0" fontId="0" fillId="32" borderId="3" xfId="0" applyFill="1" applyBorder="1" applyAlignment="1">
      <alignment horizontal="center" vertical="center"/>
    </xf>
    <xf numFmtId="0" fontId="0" fillId="32" borderId="1" xfId="0" applyFill="1" applyBorder="1" applyAlignment="1">
      <alignment horizontal="center" vertical="center"/>
    </xf>
    <xf numFmtId="0" fontId="17" fillId="32" borderId="3" xfId="0" applyFont="1" applyFill="1" applyBorder="1" applyAlignment="1">
      <alignment horizontal="center" vertical="center" wrapText="1"/>
    </xf>
    <xf numFmtId="0" fontId="17" fillId="32" borderId="39" xfId="0" applyFont="1" applyFill="1" applyBorder="1" applyAlignment="1">
      <alignment horizontal="center" vertical="center" wrapText="1"/>
    </xf>
    <xf numFmtId="0" fontId="14" fillId="31" borderId="3" xfId="0" applyFont="1" applyFill="1" applyBorder="1" applyAlignment="1">
      <alignment horizontal="center" vertical="center"/>
    </xf>
    <xf numFmtId="2" fontId="0" fillId="32" borderId="3" xfId="0" applyNumberFormat="1" applyFill="1" applyBorder="1" applyAlignment="1">
      <alignment horizontal="center" vertical="center"/>
    </xf>
    <xf numFmtId="0" fontId="17" fillId="32" borderId="77" xfId="0" applyFont="1" applyFill="1" applyBorder="1" applyAlignment="1">
      <alignment horizontal="center" vertical="center"/>
    </xf>
    <xf numFmtId="0" fontId="0" fillId="32" borderId="66" xfId="0" applyFill="1" applyBorder="1" applyAlignment="1">
      <alignment horizontal="center" vertical="center"/>
    </xf>
    <xf numFmtId="0" fontId="0" fillId="32" borderId="77" xfId="0" applyFill="1" applyBorder="1" applyAlignment="1">
      <alignment horizontal="center" vertical="center"/>
    </xf>
    <xf numFmtId="0" fontId="17" fillId="32" borderId="77" xfId="0" applyFont="1" applyFill="1" applyBorder="1" applyAlignment="1">
      <alignment horizontal="center" vertical="center" wrapText="1"/>
    </xf>
    <xf numFmtId="0" fontId="17" fillId="32" borderId="41" xfId="0" applyFont="1" applyFill="1" applyBorder="1" applyAlignment="1">
      <alignment horizontal="center" vertical="center" wrapText="1"/>
    </xf>
    <xf numFmtId="0" fontId="0" fillId="32" borderId="4" xfId="0" applyFill="1" applyBorder="1" applyAlignment="1">
      <alignment horizontal="center" vertical="center"/>
    </xf>
    <xf numFmtId="0" fontId="0" fillId="31" borderId="4" xfId="0" applyFill="1" applyBorder="1" applyAlignment="1">
      <alignment horizontal="center" vertical="center"/>
    </xf>
    <xf numFmtId="0" fontId="0" fillId="32" borderId="26" xfId="0" applyFill="1" applyBorder="1" applyAlignment="1">
      <alignment horizontal="center" vertical="center"/>
    </xf>
    <xf numFmtId="0" fontId="17" fillId="33" borderId="69" xfId="0" applyFont="1" applyFill="1" applyBorder="1" applyAlignment="1">
      <alignment horizontal="center" vertical="center"/>
    </xf>
    <xf numFmtId="0" fontId="0" fillId="33" borderId="69" xfId="0" applyFill="1" applyBorder="1" applyAlignment="1">
      <alignment horizontal="center" vertical="center"/>
    </xf>
    <xf numFmtId="0" fontId="17" fillId="33" borderId="3" xfId="0" applyFont="1" applyFill="1" applyBorder="1" applyAlignment="1">
      <alignment horizontal="center" vertical="center"/>
    </xf>
    <xf numFmtId="0" fontId="0" fillId="33" borderId="3" xfId="0" applyFill="1" applyBorder="1" applyAlignment="1">
      <alignment horizontal="center" vertical="center"/>
    </xf>
    <xf numFmtId="0" fontId="17" fillId="33" borderId="39" xfId="0" applyFont="1" applyFill="1" applyBorder="1" applyAlignment="1">
      <alignment horizontal="center" vertical="center" wrapText="1"/>
    </xf>
    <xf numFmtId="0" fontId="17" fillId="23" borderId="3" xfId="0" applyFont="1" applyFill="1" applyBorder="1" applyAlignment="1">
      <alignment horizontal="center" vertical="center"/>
    </xf>
    <xf numFmtId="0" fontId="0" fillId="23" borderId="3" xfId="0" applyFill="1" applyBorder="1" applyAlignment="1">
      <alignment horizontal="center" vertical="center"/>
    </xf>
    <xf numFmtId="0" fontId="17" fillId="23" borderId="39" xfId="0" applyFont="1" applyFill="1" applyBorder="1" applyAlignment="1">
      <alignment horizontal="center" vertical="center" wrapText="1"/>
    </xf>
    <xf numFmtId="0" fontId="17" fillId="23" borderId="70" xfId="0" applyFont="1" applyFill="1" applyBorder="1" applyAlignment="1">
      <alignment horizontal="center" vertical="center"/>
    </xf>
    <xf numFmtId="0" fontId="4" fillId="23" borderId="70" xfId="0" applyFont="1" applyFill="1" applyBorder="1" applyAlignment="1">
      <alignment horizontal="center" vertical="center"/>
    </xf>
    <xf numFmtId="0" fontId="0" fillId="23" borderId="70" xfId="0" applyFill="1" applyBorder="1" applyAlignment="1">
      <alignment horizontal="center" vertical="center"/>
    </xf>
    <xf numFmtId="0" fontId="0" fillId="35" borderId="69" xfId="0" applyFill="1" applyBorder="1" applyAlignment="1">
      <alignment horizontal="center" vertical="center"/>
    </xf>
    <xf numFmtId="0" fontId="17" fillId="35" borderId="69" xfId="0" applyFont="1" applyFill="1" applyBorder="1" applyAlignment="1">
      <alignment horizontal="center" vertical="center"/>
    </xf>
    <xf numFmtId="0" fontId="0" fillId="35" borderId="69" xfId="0" applyFill="1" applyBorder="1" applyAlignment="1">
      <alignment horizontal="center"/>
    </xf>
    <xf numFmtId="0" fontId="9" fillId="22" borderId="3" xfId="0" applyFont="1" applyFill="1" applyBorder="1" applyAlignment="1">
      <alignment horizontal="center" vertical="center"/>
    </xf>
    <xf numFmtId="0" fontId="4" fillId="22" borderId="3" xfId="0" applyFont="1" applyFill="1" applyBorder="1" applyAlignment="1">
      <alignment horizontal="center" vertical="center"/>
    </xf>
    <xf numFmtId="0" fontId="9" fillId="22" borderId="77" xfId="0" applyFont="1" applyFill="1" applyBorder="1" applyAlignment="1">
      <alignment horizontal="center" vertical="center"/>
    </xf>
    <xf numFmtId="0" fontId="4" fillId="22" borderId="77" xfId="0" applyFont="1" applyFill="1" applyBorder="1" applyAlignment="1">
      <alignment horizontal="center" vertical="center"/>
    </xf>
    <xf numFmtId="0" fontId="9" fillId="22" borderId="70" xfId="0" applyFont="1" applyFill="1" applyBorder="1" applyAlignment="1">
      <alignment horizontal="center" vertical="center"/>
    </xf>
    <xf numFmtId="0" fontId="4" fillId="22" borderId="70" xfId="0" applyFont="1" applyFill="1" applyBorder="1" applyAlignment="1">
      <alignment horizontal="center" vertical="center"/>
    </xf>
    <xf numFmtId="0" fontId="0" fillId="22" borderId="70" xfId="0" applyFill="1" applyBorder="1" applyAlignment="1">
      <alignment horizontal="center"/>
    </xf>
    <xf numFmtId="0" fontId="0" fillId="0" borderId="0" xfId="0" applyBorder="1" applyAlignment="1">
      <alignment horizontal="right"/>
    </xf>
    <xf numFmtId="14" fontId="0" fillId="0" borderId="0" xfId="0" applyNumberFormat="1"/>
    <xf numFmtId="0" fontId="0" fillId="35" borderId="69" xfId="0" applyFill="1" applyBorder="1" applyAlignment="1">
      <alignment horizontal="center" vertical="center" wrapText="1"/>
    </xf>
    <xf numFmtId="0" fontId="0" fillId="33" borderId="38" xfId="0" applyFill="1" applyBorder="1" applyAlignment="1">
      <alignment horizontal="center" wrapText="1"/>
    </xf>
    <xf numFmtId="0" fontId="0" fillId="23" borderId="44" xfId="0" applyFill="1" applyBorder="1" applyAlignment="1">
      <alignment horizontal="center" wrapText="1"/>
    </xf>
    <xf numFmtId="0" fontId="0" fillId="35" borderId="38" xfId="0" applyFill="1" applyBorder="1" applyAlignment="1">
      <alignment horizontal="center" wrapText="1"/>
    </xf>
    <xf numFmtId="0" fontId="0" fillId="22" borderId="39" xfId="0" applyFill="1" applyBorder="1" applyAlignment="1">
      <alignment horizontal="center" wrapText="1"/>
    </xf>
    <xf numFmtId="0" fontId="0" fillId="22" borderId="41" xfId="0" applyFill="1" applyBorder="1" applyAlignment="1">
      <alignment horizontal="center" wrapText="1"/>
    </xf>
    <xf numFmtId="0" fontId="0" fillId="22" borderId="44" xfId="0" applyFill="1" applyBorder="1" applyAlignment="1">
      <alignment horizontal="center" wrapText="1"/>
    </xf>
    <xf numFmtId="0" fontId="0" fillId="31" borderId="65" xfId="0" applyFill="1" applyBorder="1" applyAlignment="1">
      <alignment horizontal="center" vertical="center"/>
    </xf>
    <xf numFmtId="0" fontId="0" fillId="31" borderId="1" xfId="0" applyFill="1" applyBorder="1" applyAlignment="1">
      <alignment horizontal="center" vertical="center"/>
    </xf>
    <xf numFmtId="0" fontId="0" fillId="31" borderId="76" xfId="0" applyFill="1" applyBorder="1" applyAlignment="1">
      <alignment horizontal="center" vertical="center"/>
    </xf>
    <xf numFmtId="0" fontId="0" fillId="31" borderId="3" xfId="0" applyFill="1" applyBorder="1" applyAlignment="1">
      <alignment horizontal="center" vertical="center"/>
    </xf>
    <xf numFmtId="0" fontId="0" fillId="0" borderId="3" xfId="0" applyFill="1" applyBorder="1" applyAlignment="1">
      <alignment horizontal="center"/>
    </xf>
    <xf numFmtId="166" fontId="0" fillId="0" borderId="3" xfId="0" applyNumberFormat="1" applyBorder="1" applyAlignment="1">
      <alignment horizontal="center"/>
    </xf>
    <xf numFmtId="0" fontId="0" fillId="0" borderId="39" xfId="0" applyFill="1" applyBorder="1" applyAlignment="1">
      <alignment horizontal="center"/>
    </xf>
    <xf numFmtId="167" fontId="0" fillId="0" borderId="39" xfId="0" applyNumberFormat="1" applyBorder="1" applyAlignment="1">
      <alignment horizontal="center"/>
    </xf>
    <xf numFmtId="167" fontId="0" fillId="28" borderId="39" xfId="0" applyNumberFormat="1" applyFill="1" applyBorder="1" applyAlignment="1">
      <alignment horizontal="center"/>
    </xf>
    <xf numFmtId="0" fontId="1" fillId="0" borderId="43" xfId="0" applyFont="1" applyFill="1" applyBorder="1"/>
    <xf numFmtId="0" fontId="4" fillId="0" borderId="2" xfId="0" applyFont="1" applyBorder="1"/>
    <xf numFmtId="0" fontId="4" fillId="0" borderId="79" xfId="0" applyFont="1" applyBorder="1"/>
    <xf numFmtId="0" fontId="0" fillId="0" borderId="69" xfId="0" applyFill="1" applyBorder="1" applyAlignment="1">
      <alignment horizontal="center"/>
    </xf>
    <xf numFmtId="0" fontId="1" fillId="0" borderId="43" xfId="0" applyFont="1" applyBorder="1"/>
    <xf numFmtId="0" fontId="1" fillId="0" borderId="78" xfId="0" applyFont="1" applyBorder="1"/>
    <xf numFmtId="167" fontId="0" fillId="0" borderId="77" xfId="0" applyNumberFormat="1" applyBorder="1" applyAlignment="1">
      <alignment horizontal="center"/>
    </xf>
    <xf numFmtId="0" fontId="0" fillId="0" borderId="69" xfId="0" applyBorder="1" applyAlignment="1">
      <alignment horizontal="center"/>
    </xf>
    <xf numFmtId="1" fontId="0" fillId="0" borderId="3" xfId="0" applyNumberFormat="1" applyBorder="1" applyAlignment="1">
      <alignment horizontal="center"/>
    </xf>
    <xf numFmtId="167" fontId="0" fillId="0" borderId="69" xfId="0" applyNumberFormat="1" applyBorder="1" applyAlignment="1">
      <alignment horizontal="center"/>
    </xf>
    <xf numFmtId="167" fontId="0" fillId="28" borderId="70" xfId="0" applyNumberFormat="1" applyFill="1" applyBorder="1" applyAlignment="1">
      <alignment horizontal="center"/>
    </xf>
    <xf numFmtId="1" fontId="0" fillId="0" borderId="3" xfId="0" applyNumberFormat="1" applyFill="1" applyBorder="1" applyAlignment="1">
      <alignment horizontal="center"/>
    </xf>
    <xf numFmtId="167" fontId="45" fillId="0" borderId="0" xfId="0" applyNumberFormat="1" applyFont="1" applyAlignment="1">
      <alignment horizontal="center"/>
    </xf>
    <xf numFmtId="0" fontId="0" fillId="0" borderId="0" xfId="0" applyAlignment="1">
      <alignment horizontal="left" wrapText="1"/>
    </xf>
    <xf numFmtId="0" fontId="0" fillId="0" borderId="2" xfId="0" applyBorder="1" applyAlignment="1">
      <alignment vertical="center" wrapText="1"/>
    </xf>
    <xf numFmtId="0" fontId="0" fillId="0" borderId="3" xfId="0" applyBorder="1" applyAlignment="1">
      <alignment vertical="center" wrapText="1"/>
    </xf>
    <xf numFmtId="0" fontId="0" fillId="0" borderId="3" xfId="0" applyBorder="1" applyAlignment="1">
      <alignment vertical="center"/>
    </xf>
    <xf numFmtId="0" fontId="0" fillId="0" borderId="2" xfId="0" applyFill="1" applyBorder="1" applyAlignment="1">
      <alignment vertical="center" wrapText="1"/>
    </xf>
    <xf numFmtId="1" fontId="1" fillId="0" borderId="80" xfId="0" applyNumberFormat="1" applyFont="1" applyBorder="1" applyAlignment="1">
      <alignment horizontal="center" vertical="center"/>
    </xf>
    <xf numFmtId="0" fontId="0" fillId="0" borderId="0" xfId="0" applyBorder="1" applyAlignment="1">
      <alignment vertical="center" wrapText="1"/>
    </xf>
    <xf numFmtId="0" fontId="0" fillId="2" borderId="81" xfId="0" applyFill="1" applyBorder="1"/>
    <xf numFmtId="0" fontId="0" fillId="2" borderId="82" xfId="0" applyFill="1" applyBorder="1"/>
    <xf numFmtId="0" fontId="0" fillId="2" borderId="26" xfId="0" applyFill="1" applyBorder="1"/>
    <xf numFmtId="0" fontId="0" fillId="2" borderId="27" xfId="0" applyFill="1" applyBorder="1"/>
    <xf numFmtId="0" fontId="0" fillId="2" borderId="65" xfId="0" applyFill="1" applyBorder="1"/>
    <xf numFmtId="0" fontId="0" fillId="2" borderId="64" xfId="0" applyFill="1" applyBorder="1"/>
    <xf numFmtId="0" fontId="23" fillId="0" borderId="0" xfId="0" applyFont="1" applyFill="1" applyBorder="1" applyAlignment="1" applyProtection="1">
      <alignment horizontal="center" vertical="center"/>
      <protection locked="0"/>
    </xf>
    <xf numFmtId="0" fontId="22" fillId="18" borderId="0" xfId="0" applyFont="1" applyFill="1" applyBorder="1" applyAlignment="1" applyProtection="1">
      <alignment horizontal="center" vertical="center"/>
      <protection locked="0"/>
    </xf>
    <xf numFmtId="165" fontId="22" fillId="30" borderId="0" xfId="0" applyNumberFormat="1" applyFont="1" applyFill="1" applyBorder="1" applyAlignment="1" applyProtection="1">
      <alignment horizontal="center" vertical="center"/>
      <protection locked="0"/>
    </xf>
    <xf numFmtId="0" fontId="22" fillId="0" borderId="0" xfId="0" applyFont="1" applyFill="1" applyBorder="1" applyAlignment="1" applyProtection="1">
      <alignment horizontal="center" vertical="center"/>
      <protection locked="0"/>
    </xf>
    <xf numFmtId="0" fontId="22" fillId="18" borderId="27" xfId="0" applyFont="1" applyFill="1" applyBorder="1" applyAlignment="1" applyProtection="1">
      <alignment horizontal="center" vertical="center"/>
      <protection locked="0"/>
    </xf>
    <xf numFmtId="165" fontId="22" fillId="30" borderId="27" xfId="0" applyNumberFormat="1" applyFont="1" applyFill="1" applyBorder="1" applyAlignment="1" applyProtection="1">
      <alignment horizontal="center" vertical="center"/>
      <protection locked="0"/>
    </xf>
    <xf numFmtId="0" fontId="0" fillId="2" borderId="39" xfId="0" applyFill="1" applyBorder="1" applyAlignment="1">
      <alignment horizontal="center"/>
    </xf>
    <xf numFmtId="167" fontId="0" fillId="0" borderId="41" xfId="0" applyNumberFormat="1" applyBorder="1" applyAlignment="1">
      <alignment horizontal="center"/>
    </xf>
    <xf numFmtId="167" fontId="0" fillId="28" borderId="44" xfId="0" applyNumberFormat="1" applyFill="1" applyBorder="1" applyAlignment="1">
      <alignment horizontal="center"/>
    </xf>
    <xf numFmtId="166" fontId="0" fillId="0" borderId="80" xfId="0" applyNumberFormat="1" applyBorder="1" applyAlignment="1">
      <alignment horizontal="center"/>
    </xf>
    <xf numFmtId="0" fontId="0" fillId="0" borderId="80" xfId="0" applyFill="1" applyBorder="1" applyAlignment="1">
      <alignment horizontal="center"/>
    </xf>
    <xf numFmtId="167" fontId="0" fillId="0" borderId="70" xfId="0" applyNumberFormat="1" applyBorder="1" applyAlignment="1">
      <alignment horizontal="center"/>
    </xf>
    <xf numFmtId="0" fontId="0" fillId="0" borderId="0" xfId="0" applyBorder="1" applyProtection="1">
      <protection locked="0"/>
    </xf>
    <xf numFmtId="0" fontId="32" fillId="0" borderId="0" xfId="27" applyNumberFormat="1" applyFont="1" applyFill="1" applyAlignment="1">
      <alignment horizontal="right"/>
    </xf>
    <xf numFmtId="0" fontId="32" fillId="0" borderId="0" xfId="27" applyNumberFormat="1" applyFont="1" applyFill="1" applyBorder="1" applyAlignment="1">
      <alignment horizontal="center"/>
    </xf>
    <xf numFmtId="0" fontId="13" fillId="0" borderId="0" xfId="0" applyFont="1" applyAlignment="1">
      <alignment vertical="center"/>
    </xf>
    <xf numFmtId="0" fontId="10" fillId="18" borderId="0" xfId="4" applyFont="1" applyFill="1" applyBorder="1" applyAlignment="1" applyProtection="1">
      <protection locked="0"/>
    </xf>
    <xf numFmtId="0" fontId="16" fillId="0" borderId="27" xfId="0" applyFont="1" applyFill="1" applyBorder="1" applyProtection="1">
      <protection locked="0"/>
    </xf>
    <xf numFmtId="0" fontId="0" fillId="0" borderId="0" xfId="0" applyBorder="1" applyAlignment="1">
      <alignment horizontal="center"/>
    </xf>
    <xf numFmtId="0" fontId="0" fillId="0" borderId="24" xfId="0" applyFill="1" applyBorder="1" applyAlignment="1">
      <alignment horizontal="center"/>
    </xf>
    <xf numFmtId="0" fontId="0" fillId="0" borderId="0" xfId="0" applyFill="1" applyBorder="1" applyAlignment="1">
      <alignment horizontal="center"/>
    </xf>
    <xf numFmtId="0" fontId="0" fillId="32" borderId="53" xfId="0" applyFill="1" applyBorder="1" applyAlignment="1">
      <alignment vertical="center"/>
    </xf>
    <xf numFmtId="0" fontId="0" fillId="0" borderId="0" xfId="0" applyBorder="1" applyAlignment="1" applyProtection="1">
      <alignment horizontal="center" vertical="center"/>
    </xf>
    <xf numFmtId="0" fontId="0" fillId="0" borderId="24" xfId="0" applyFill="1" applyBorder="1" applyAlignment="1">
      <alignment horizontal="center" vertical="center" wrapText="1"/>
    </xf>
    <xf numFmtId="0" fontId="0" fillId="0" borderId="0" xfId="0" quotePrefix="1" applyFill="1" applyBorder="1" applyAlignment="1">
      <alignment horizontal="center" vertical="center" wrapText="1"/>
    </xf>
    <xf numFmtId="0" fontId="0" fillId="0" borderId="0" xfId="0" applyFill="1" applyBorder="1" applyAlignment="1">
      <alignment horizontal="center" vertical="center"/>
    </xf>
    <xf numFmtId="0" fontId="0" fillId="0" borderId="0" xfId="0" applyFill="1" applyBorder="1" applyAlignment="1">
      <alignment vertical="center" wrapText="1"/>
    </xf>
    <xf numFmtId="0" fontId="0" fillId="0" borderId="26" xfId="0" applyBorder="1" applyAlignment="1">
      <alignment horizontal="center"/>
    </xf>
    <xf numFmtId="0" fontId="0" fillId="0" borderId="27" xfId="0" applyBorder="1" applyAlignment="1">
      <alignment horizontal="center"/>
    </xf>
    <xf numFmtId="0" fontId="0" fillId="0" borderId="24" xfId="0" applyFill="1" applyBorder="1" applyAlignment="1">
      <alignment horizontal="center" vertical="center"/>
    </xf>
    <xf numFmtId="0" fontId="0" fillId="0" borderId="0" xfId="0" quotePrefix="1" applyFill="1" applyBorder="1" applyAlignment="1">
      <alignment horizontal="center" vertical="center"/>
    </xf>
    <xf numFmtId="0" fontId="0" fillId="0" borderId="65" xfId="0" applyBorder="1" applyAlignment="1">
      <alignment horizontal="center"/>
    </xf>
    <xf numFmtId="0" fontId="0" fillId="0" borderId="64" xfId="0" applyBorder="1" applyAlignment="1">
      <alignment horizontal="center"/>
    </xf>
    <xf numFmtId="0" fontId="0" fillId="0" borderId="0" xfId="0" applyFill="1" applyBorder="1" applyAlignment="1" applyProtection="1">
      <alignment horizontal="center" vertical="center"/>
    </xf>
    <xf numFmtId="0" fontId="0" fillId="0" borderId="24" xfId="0" applyBorder="1" applyAlignment="1">
      <alignment horizontal="center"/>
    </xf>
    <xf numFmtId="167" fontId="0" fillId="0" borderId="0" xfId="0" applyNumberFormat="1"/>
    <xf numFmtId="0" fontId="0" fillId="37" borderId="87" xfId="0" applyFill="1" applyBorder="1" applyAlignment="1">
      <alignment horizontal="center" vertical="center"/>
    </xf>
    <xf numFmtId="0" fontId="0" fillId="0" borderId="0" xfId="0" applyBorder="1" applyProtection="1"/>
    <xf numFmtId="0" fontId="0" fillId="0" borderId="0" xfId="0" applyBorder="1" applyAlignment="1" applyProtection="1">
      <alignment horizontal="center"/>
    </xf>
    <xf numFmtId="0" fontId="0" fillId="0" borderId="25" xfId="0" applyBorder="1" applyAlignment="1" applyProtection="1">
      <alignment horizontal="center"/>
    </xf>
    <xf numFmtId="0" fontId="0" fillId="0" borderId="25" xfId="0" applyBorder="1" applyAlignment="1" applyProtection="1">
      <alignment horizontal="center" vertical="center"/>
    </xf>
    <xf numFmtId="166" fontId="0" fillId="0" borderId="0" xfId="0" applyNumberFormat="1"/>
    <xf numFmtId="0" fontId="0" fillId="0" borderId="7" xfId="0" applyFill="1" applyBorder="1" applyAlignment="1">
      <alignment horizontal="center" vertical="center"/>
    </xf>
    <xf numFmtId="0" fontId="0" fillId="0" borderId="8" xfId="0" quotePrefix="1" applyFill="1" applyBorder="1" applyAlignment="1">
      <alignment horizontal="center" vertical="center"/>
    </xf>
    <xf numFmtId="0" fontId="0" fillId="0" borderId="8" xfId="0" applyFill="1" applyBorder="1" applyAlignment="1">
      <alignment vertical="center"/>
    </xf>
    <xf numFmtId="0" fontId="0" fillId="0" borderId="8" xfId="0" applyFill="1" applyBorder="1" applyAlignment="1">
      <alignment horizontal="center" vertical="center"/>
    </xf>
    <xf numFmtId="0" fontId="0" fillId="0" borderId="8" xfId="0" applyBorder="1"/>
    <xf numFmtId="0" fontId="0" fillId="0" borderId="8" xfId="0" applyBorder="1" applyAlignment="1" applyProtection="1">
      <alignment horizontal="center" vertical="center"/>
    </xf>
    <xf numFmtId="0" fontId="0" fillId="0" borderId="9" xfId="0" applyBorder="1" applyAlignment="1" applyProtection="1">
      <alignment horizontal="center" vertical="center"/>
    </xf>
    <xf numFmtId="0" fontId="0" fillId="0" borderId="0" xfId="0" applyFill="1" applyAlignment="1">
      <alignment horizontal="center" vertical="center"/>
    </xf>
    <xf numFmtId="0" fontId="0" fillId="0" borderId="0" xfId="0" quotePrefix="1" applyFill="1" applyAlignment="1">
      <alignment horizontal="center" vertical="center"/>
    </xf>
    <xf numFmtId="0" fontId="0" fillId="0" borderId="0" xfId="0" applyFill="1" applyAlignment="1">
      <alignment vertical="center"/>
    </xf>
    <xf numFmtId="1" fontId="0" fillId="22" borderId="80" xfId="0" applyNumberFormat="1" applyFill="1" applyBorder="1" applyAlignment="1">
      <alignment horizontal="center" vertical="center"/>
    </xf>
    <xf numFmtId="0" fontId="0" fillId="22" borderId="80" xfId="0" applyFill="1" applyBorder="1" applyAlignment="1">
      <alignment horizontal="left" vertical="center" wrapText="1"/>
    </xf>
    <xf numFmtId="0" fontId="0" fillId="0" borderId="0" xfId="0" applyBorder="1" applyAlignment="1">
      <alignment horizontal="center" vertical="center" wrapText="1"/>
    </xf>
    <xf numFmtId="0" fontId="0" fillId="2" borderId="44" xfId="0" applyFill="1" applyBorder="1" applyAlignment="1">
      <alignment horizontal="center"/>
    </xf>
    <xf numFmtId="0" fontId="0" fillId="0" borderId="0" xfId="0" applyAlignment="1"/>
    <xf numFmtId="0" fontId="1" fillId="0" borderId="37" xfId="0" applyFont="1" applyFill="1" applyBorder="1"/>
    <xf numFmtId="0" fontId="0" fillId="28" borderId="39" xfId="0" applyFill="1" applyBorder="1" applyAlignment="1">
      <alignment horizontal="center"/>
    </xf>
    <xf numFmtId="1" fontId="0" fillId="28" borderId="44" xfId="0" applyNumberFormat="1" applyFill="1" applyBorder="1" applyAlignment="1">
      <alignment horizontal="center"/>
    </xf>
    <xf numFmtId="0" fontId="0" fillId="0" borderId="0" xfId="0" applyAlignment="1">
      <alignment horizontal="left"/>
    </xf>
    <xf numFmtId="0" fontId="0" fillId="0" borderId="38" xfId="0" applyNumberFormat="1" applyFill="1" applyBorder="1" applyAlignment="1">
      <alignment horizontal="center"/>
    </xf>
    <xf numFmtId="0" fontId="0" fillId="0" borderId="80" xfId="0" applyBorder="1" applyAlignment="1">
      <alignment horizontal="center"/>
    </xf>
    <xf numFmtId="0" fontId="0" fillId="0" borderId="39" xfId="0" applyBorder="1" applyAlignment="1">
      <alignment horizontal="center"/>
    </xf>
    <xf numFmtId="166" fontId="0" fillId="0" borderId="39" xfId="0" applyNumberFormat="1" applyBorder="1" applyAlignment="1">
      <alignment horizontal="center"/>
    </xf>
    <xf numFmtId="0" fontId="0" fillId="0" borderId="39" xfId="0" applyNumberFormat="1" applyFill="1" applyBorder="1" applyAlignment="1">
      <alignment horizontal="center"/>
    </xf>
    <xf numFmtId="0" fontId="0" fillId="0" borderId="39" xfId="0" applyFill="1" applyBorder="1" applyAlignment="1">
      <alignment horizontal="center"/>
    </xf>
    <xf numFmtId="1" fontId="0" fillId="0" borderId="39" xfId="0" applyNumberFormat="1" applyBorder="1" applyAlignment="1">
      <alignment horizontal="center"/>
    </xf>
    <xf numFmtId="2" fontId="0" fillId="0" borderId="39" xfId="0" applyNumberFormat="1" applyBorder="1" applyAlignment="1">
      <alignment horizontal="center"/>
    </xf>
    <xf numFmtId="0" fontId="0" fillId="27" borderId="39" xfId="0" applyFill="1" applyBorder="1" applyAlignment="1">
      <alignment horizontal="center"/>
    </xf>
    <xf numFmtId="0" fontId="0" fillId="28" borderId="39" xfId="0" applyFill="1" applyBorder="1" applyAlignment="1">
      <alignment horizontal="center"/>
    </xf>
    <xf numFmtId="1" fontId="0" fillId="28" borderId="39" xfId="0" applyNumberFormat="1" applyFill="1" applyBorder="1" applyAlignment="1">
      <alignment horizontal="center"/>
    </xf>
    <xf numFmtId="1" fontId="0" fillId="28" borderId="44" xfId="0" applyNumberFormat="1" applyFill="1" applyBorder="1" applyAlignment="1">
      <alignment horizontal="center"/>
    </xf>
    <xf numFmtId="0" fontId="0" fillId="0" borderId="0" xfId="0" applyBorder="1" applyAlignment="1">
      <alignment horizontal="center"/>
    </xf>
    <xf numFmtId="3" fontId="0" fillId="0" borderId="0" xfId="0" applyNumberFormat="1"/>
    <xf numFmtId="3" fontId="0" fillId="0" borderId="0" xfId="0" applyNumberFormat="1" applyAlignment="1">
      <alignment horizontal="center"/>
    </xf>
    <xf numFmtId="2" fontId="0" fillId="0" borderId="0" xfId="0" applyNumberFormat="1"/>
    <xf numFmtId="2" fontId="0" fillId="0" borderId="0" xfId="0" applyNumberFormat="1" applyAlignment="1">
      <alignment horizontal="center"/>
    </xf>
    <xf numFmtId="1" fontId="0" fillId="0" borderId="0" xfId="0" applyNumberFormat="1"/>
    <xf numFmtId="0" fontId="0" fillId="0" borderId="81" xfId="0" applyFill="1" applyBorder="1"/>
    <xf numFmtId="0" fontId="0" fillId="0" borderId="82" xfId="0" applyBorder="1"/>
    <xf numFmtId="0" fontId="0" fillId="0" borderId="65" xfId="0" applyBorder="1"/>
    <xf numFmtId="0" fontId="0" fillId="0" borderId="81" xfId="0" applyBorder="1"/>
    <xf numFmtId="0" fontId="0" fillId="0" borderId="26" xfId="0" applyBorder="1"/>
    <xf numFmtId="0" fontId="0" fillId="0" borderId="26" xfId="0" applyFill="1" applyBorder="1" applyAlignment="1">
      <alignment horizontal="right"/>
    </xf>
    <xf numFmtId="0" fontId="0" fillId="0" borderId="65" xfId="0" applyFill="1" applyBorder="1" applyAlignment="1">
      <alignment horizontal="right"/>
    </xf>
    <xf numFmtId="3" fontId="0" fillId="0" borderId="27" xfId="0" applyNumberFormat="1" applyBorder="1" applyAlignment="1">
      <alignment horizontal="center"/>
    </xf>
    <xf numFmtId="3" fontId="0" fillId="0" borderId="64" xfId="0" applyNumberFormat="1" applyBorder="1" applyAlignment="1">
      <alignment horizontal="center"/>
    </xf>
    <xf numFmtId="3" fontId="0" fillId="0" borderId="82" xfId="0" applyNumberFormat="1" applyBorder="1" applyAlignment="1">
      <alignment horizontal="center"/>
    </xf>
    <xf numFmtId="2" fontId="0" fillId="0" borderId="82" xfId="0" applyNumberFormat="1" applyBorder="1" applyAlignment="1">
      <alignment horizontal="center"/>
    </xf>
    <xf numFmtId="2" fontId="0" fillId="0" borderId="27" xfId="0" applyNumberFormat="1" applyBorder="1" applyAlignment="1">
      <alignment horizontal="center"/>
    </xf>
    <xf numFmtId="167" fontId="0" fillId="0" borderId="64" xfId="0" applyNumberFormat="1" applyBorder="1" applyAlignment="1">
      <alignment horizontal="center"/>
    </xf>
    <xf numFmtId="3" fontId="0" fillId="0" borderId="64" xfId="0" applyNumberFormat="1" applyFill="1" applyBorder="1" applyAlignment="1">
      <alignment horizontal="center"/>
    </xf>
    <xf numFmtId="0" fontId="0" fillId="0" borderId="65" xfId="0" applyFill="1" applyBorder="1"/>
    <xf numFmtId="0" fontId="0" fillId="0" borderId="88" xfId="0" applyBorder="1"/>
    <xf numFmtId="0" fontId="0" fillId="23" borderId="90" xfId="0" applyFill="1" applyBorder="1" applyAlignment="1" applyProtection="1">
      <alignment horizontal="center"/>
      <protection locked="0"/>
    </xf>
    <xf numFmtId="0" fontId="0" fillId="23" borderId="82" xfId="0" applyFill="1" applyBorder="1" applyAlignment="1" applyProtection="1">
      <alignment horizontal="center"/>
      <protection locked="0"/>
    </xf>
    <xf numFmtId="0" fontId="0" fillId="23" borderId="64" xfId="0" applyFill="1" applyBorder="1" applyAlignment="1">
      <alignment horizontal="center"/>
    </xf>
    <xf numFmtId="0" fontId="0" fillId="23" borderId="82" xfId="0" applyFill="1" applyBorder="1" applyAlignment="1">
      <alignment horizontal="center"/>
    </xf>
    <xf numFmtId="0" fontId="0" fillId="23" borderId="27" xfId="0" applyFill="1" applyBorder="1" applyAlignment="1">
      <alignment horizontal="center"/>
    </xf>
    <xf numFmtId="2" fontId="0" fillId="0" borderId="64" xfId="0" applyNumberFormat="1" applyBorder="1" applyAlignment="1">
      <alignment horizontal="center"/>
    </xf>
    <xf numFmtId="166" fontId="0" fillId="0" borderId="82" xfId="0" applyNumberFormat="1" applyBorder="1" applyAlignment="1">
      <alignment horizontal="center"/>
    </xf>
    <xf numFmtId="166" fontId="0" fillId="0" borderId="64" xfId="0" applyNumberFormat="1" applyBorder="1" applyAlignment="1">
      <alignment horizontal="center"/>
    </xf>
    <xf numFmtId="0" fontId="0" fillId="23" borderId="64" xfId="0" applyFill="1" applyBorder="1" applyAlignment="1" applyProtection="1">
      <alignment horizontal="center"/>
      <protection locked="0"/>
    </xf>
    <xf numFmtId="166" fontId="0" fillId="0" borderId="0" xfId="0" applyNumberFormat="1" applyAlignment="1">
      <alignment horizontal="center"/>
    </xf>
    <xf numFmtId="3" fontId="1" fillId="37" borderId="90" xfId="0" applyNumberFormat="1" applyFont="1" applyFill="1" applyBorder="1" applyAlignment="1">
      <alignment horizontal="center"/>
    </xf>
    <xf numFmtId="0" fontId="1" fillId="37" borderId="88" xfId="0" applyFont="1" applyFill="1" applyBorder="1" applyAlignment="1">
      <alignment horizontal="center"/>
    </xf>
    <xf numFmtId="0" fontId="0" fillId="0" borderId="26" xfId="0" applyFill="1" applyBorder="1"/>
    <xf numFmtId="167" fontId="0" fillId="0" borderId="27" xfId="0" applyNumberFormat="1" applyBorder="1" applyAlignment="1">
      <alignment horizontal="center"/>
    </xf>
    <xf numFmtId="1" fontId="0" fillId="0" borderId="0" xfId="0" applyNumberFormat="1" applyAlignment="1">
      <alignment horizontal="center"/>
    </xf>
    <xf numFmtId="0" fontId="0" fillId="0" borderId="89" xfId="0" applyBorder="1" applyAlignment="1">
      <alignment horizontal="center"/>
    </xf>
    <xf numFmtId="0" fontId="0" fillId="23" borderId="89" xfId="0" applyFill="1" applyBorder="1" applyAlignment="1">
      <alignment horizontal="center"/>
    </xf>
    <xf numFmtId="0" fontId="0" fillId="0" borderId="90" xfId="0" applyBorder="1"/>
    <xf numFmtId="2" fontId="0" fillId="0" borderId="4" xfId="0" applyNumberFormat="1" applyBorder="1" applyAlignment="1">
      <alignment horizontal="center"/>
    </xf>
    <xf numFmtId="2" fontId="0" fillId="0" borderId="66" xfId="0" applyNumberFormat="1" applyBorder="1" applyAlignment="1">
      <alignment horizontal="center"/>
    </xf>
    <xf numFmtId="0" fontId="0" fillId="23" borderId="4" xfId="0" applyFill="1" applyBorder="1" applyAlignment="1">
      <alignment horizontal="center"/>
    </xf>
    <xf numFmtId="0" fontId="0" fillId="23" borderId="77" xfId="0" applyFill="1" applyBorder="1"/>
    <xf numFmtId="0" fontId="0" fillId="23" borderId="4" xfId="0" applyFill="1" applyBorder="1"/>
    <xf numFmtId="0" fontId="0" fillId="23" borderId="66" xfId="0" applyFill="1" applyBorder="1"/>
    <xf numFmtId="1" fontId="0" fillId="2" borderId="3" xfId="0" applyNumberFormat="1" applyFill="1" applyBorder="1" applyAlignment="1">
      <alignment horizontal="center"/>
    </xf>
    <xf numFmtId="0" fontId="1" fillId="0" borderId="0" xfId="0" applyFont="1" applyBorder="1" applyAlignment="1">
      <alignment vertical="center" wrapText="1"/>
    </xf>
    <xf numFmtId="0" fontId="4" fillId="0" borderId="80" xfId="0" applyFont="1" applyBorder="1" applyAlignment="1">
      <alignment vertical="center" wrapText="1"/>
    </xf>
    <xf numFmtId="0" fontId="14" fillId="0" borderId="0" xfId="0" applyFont="1" applyFill="1" applyBorder="1" applyAlignment="1" applyProtection="1">
      <alignment horizontal="left"/>
      <protection locked="0"/>
    </xf>
    <xf numFmtId="0" fontId="14" fillId="0" borderId="0" xfId="0" applyFont="1" applyFill="1" applyBorder="1" applyAlignment="1" applyProtection="1">
      <alignment horizontal="left"/>
      <protection locked="0"/>
    </xf>
    <xf numFmtId="0" fontId="0" fillId="0" borderId="80" xfId="0" applyBorder="1" applyAlignment="1">
      <alignment horizontal="center" vertical="center"/>
    </xf>
    <xf numFmtId="0" fontId="27" fillId="26" borderId="35" xfId="0" applyFont="1" applyFill="1" applyBorder="1" applyAlignment="1">
      <alignment horizontal="center" vertical="center" wrapText="1"/>
    </xf>
    <xf numFmtId="49" fontId="27" fillId="0" borderId="35" xfId="0" applyNumberFormat="1" applyFont="1" applyFill="1" applyBorder="1" applyAlignment="1">
      <alignment horizontal="center" vertical="center" wrapText="1"/>
    </xf>
    <xf numFmtId="0" fontId="27" fillId="0" borderId="35" xfId="0" applyFont="1" applyFill="1" applyBorder="1" applyAlignment="1">
      <alignment horizontal="center" vertical="center" wrapText="1"/>
    </xf>
    <xf numFmtId="14" fontId="27" fillId="26" borderId="35" xfId="0" applyNumberFormat="1" applyFont="1" applyFill="1" applyBorder="1" applyAlignment="1">
      <alignment horizontal="center" vertical="center" wrapText="1"/>
    </xf>
    <xf numFmtId="0" fontId="10" fillId="18" borderId="0" xfId="4" applyFont="1" applyFill="1" applyBorder="1" applyAlignment="1" applyProtection="1">
      <alignment horizontal="center" vertical="center"/>
      <protection locked="0"/>
    </xf>
    <xf numFmtId="0" fontId="22" fillId="0" borderId="26" xfId="0" applyFont="1" applyFill="1" applyBorder="1" applyAlignment="1" applyProtection="1">
      <alignment horizontal="center" vertical="center"/>
      <protection locked="0"/>
    </xf>
    <xf numFmtId="0" fontId="22" fillId="0" borderId="27" xfId="0" applyFont="1" applyFill="1" applyBorder="1" applyAlignment="1" applyProtection="1">
      <alignment horizontal="center" vertical="center"/>
      <protection locked="0"/>
    </xf>
    <xf numFmtId="165" fontId="22" fillId="0" borderId="26" xfId="0" applyNumberFormat="1" applyFont="1" applyFill="1" applyBorder="1" applyAlignment="1" applyProtection="1">
      <alignment horizontal="center" vertical="center"/>
      <protection locked="0"/>
    </xf>
    <xf numFmtId="165" fontId="22" fillId="0" borderId="0" xfId="0" applyNumberFormat="1" applyFont="1" applyFill="1" applyBorder="1" applyAlignment="1" applyProtection="1">
      <alignment horizontal="center" vertical="center"/>
      <protection locked="0"/>
    </xf>
    <xf numFmtId="165" fontId="22" fillId="0" borderId="27" xfId="0" applyNumberFormat="1" applyFont="1" applyFill="1" applyBorder="1" applyAlignment="1" applyProtection="1">
      <alignment horizontal="center" vertical="center"/>
      <protection locked="0"/>
    </xf>
    <xf numFmtId="0" fontId="23" fillId="0" borderId="24" xfId="20" applyFont="1" applyFill="1" applyBorder="1" applyProtection="1">
      <alignment horizontal="center"/>
      <protection locked="0"/>
    </xf>
    <xf numFmtId="0" fontId="9" fillId="21" borderId="24" xfId="20" applyFont="1" applyFill="1" applyBorder="1" applyProtection="1">
      <alignment horizontal="center"/>
      <protection locked="0"/>
    </xf>
    <xf numFmtId="0" fontId="9" fillId="21" borderId="0" xfId="21" applyFont="1" applyFill="1" applyBorder="1" applyProtection="1">
      <alignment horizontal="center"/>
      <protection locked="0"/>
    </xf>
    <xf numFmtId="0" fontId="9" fillId="0" borderId="7" xfId="0" applyFont="1" applyFill="1" applyBorder="1" applyProtection="1">
      <protection locked="0"/>
    </xf>
    <xf numFmtId="0" fontId="9" fillId="0" borderId="24" xfId="2" applyFont="1" applyFill="1" applyBorder="1" applyProtection="1">
      <protection locked="0"/>
    </xf>
    <xf numFmtId="0" fontId="10" fillId="0" borderId="6" xfId="0" applyFont="1" applyFill="1" applyBorder="1" applyAlignment="1" applyProtection="1">
      <alignment horizontal="left"/>
      <protection locked="0"/>
    </xf>
    <xf numFmtId="0" fontId="10" fillId="0" borderId="25" xfId="0" applyFont="1" applyFill="1" applyBorder="1" applyAlignment="1" applyProtection="1">
      <alignment horizontal="left"/>
      <protection locked="0"/>
    </xf>
    <xf numFmtId="0" fontId="9" fillId="0" borderId="24" xfId="0" applyFont="1" applyFill="1" applyBorder="1" applyProtection="1">
      <protection locked="0"/>
    </xf>
    <xf numFmtId="0" fontId="9" fillId="0" borderId="0" xfId="0" applyFont="1" applyFill="1" applyBorder="1" applyProtection="1">
      <protection locked="0"/>
    </xf>
    <xf numFmtId="0" fontId="9" fillId="0" borderId="0" xfId="0" applyFont="1" applyFill="1" applyBorder="1" applyAlignment="1" applyProtection="1">
      <alignment horizontal="center"/>
      <protection locked="0"/>
    </xf>
    <xf numFmtId="0" fontId="9" fillId="0" borderId="25" xfId="0" applyFont="1" applyFill="1" applyBorder="1" applyProtection="1">
      <protection locked="0"/>
    </xf>
    <xf numFmtId="0" fontId="9" fillId="0" borderId="0" xfId="2" applyFont="1" applyFill="1" applyBorder="1" applyAlignment="1" applyProtection="1">
      <alignment horizontal="left"/>
      <protection locked="0"/>
    </xf>
    <xf numFmtId="165" fontId="9" fillId="29" borderId="27" xfId="3" applyFont="1" applyFill="1" applyBorder="1" applyProtection="1">
      <alignment horizontal="center"/>
      <protection locked="0"/>
    </xf>
    <xf numFmtId="0" fontId="10" fillId="14" borderId="0" xfId="10" applyFont="1" applyFill="1" applyBorder="1" applyProtection="1">
      <protection locked="0"/>
    </xf>
    <xf numFmtId="0" fontId="10" fillId="14" borderId="27" xfId="9" applyFont="1" applyFill="1" applyBorder="1" applyAlignment="1" applyProtection="1">
      <alignment vertical="center"/>
      <protection locked="0"/>
    </xf>
    <xf numFmtId="0" fontId="10" fillId="29" borderId="26" xfId="9" applyFont="1" applyFill="1" applyBorder="1" applyAlignment="1" applyProtection="1">
      <alignment vertical="center"/>
      <protection locked="0"/>
    </xf>
    <xf numFmtId="0" fontId="9" fillId="14" borderId="0" xfId="11" applyFont="1" applyFill="1" applyBorder="1" applyProtection="1">
      <protection locked="0"/>
    </xf>
    <xf numFmtId="165" fontId="9" fillId="29" borderId="26" xfId="5" applyFont="1" applyFill="1" applyBorder="1" applyProtection="1">
      <alignment horizontal="center"/>
      <protection locked="0"/>
    </xf>
    <xf numFmtId="0" fontId="9" fillId="0" borderId="0" xfId="0" applyFont="1" applyFill="1" applyBorder="1" applyAlignment="1" applyProtection="1">
      <alignment horizontal="right"/>
      <protection locked="0"/>
    </xf>
    <xf numFmtId="0" fontId="9" fillId="0" borderId="0" xfId="0" applyFont="1" applyFill="1" applyBorder="1" applyAlignment="1" applyProtection="1">
      <alignment horizontal="center" vertical="center"/>
      <protection locked="0"/>
    </xf>
    <xf numFmtId="165" fontId="9" fillId="29" borderId="26" xfId="5" applyNumberFormat="1" applyFont="1" applyFill="1" applyBorder="1" applyProtection="1">
      <alignment horizontal="center"/>
      <protection locked="0"/>
    </xf>
    <xf numFmtId="165" fontId="9" fillId="0" borderId="25" xfId="7" applyFont="1" applyFill="1" applyBorder="1" applyAlignment="1" applyProtection="1">
      <alignment horizontal="left"/>
      <protection locked="0"/>
    </xf>
    <xf numFmtId="0" fontId="42" fillId="0" borderId="24" xfId="0" applyFont="1" applyFill="1" applyBorder="1" applyAlignment="1" applyProtection="1">
      <alignment horizontal="center"/>
      <protection locked="0"/>
    </xf>
    <xf numFmtId="165" fontId="9" fillId="0" borderId="0" xfId="7" applyNumberFormat="1" applyFont="1" applyFill="1" applyBorder="1" applyProtection="1">
      <alignment horizontal="center"/>
      <protection locked="0"/>
    </xf>
    <xf numFmtId="165" fontId="9" fillId="0" borderId="0" xfId="7" applyFont="1" applyFill="1" applyBorder="1" applyProtection="1">
      <alignment horizontal="center"/>
      <protection locked="0"/>
    </xf>
    <xf numFmtId="0" fontId="10" fillId="20" borderId="0" xfId="0" applyFont="1" applyFill="1" applyBorder="1" applyAlignment="1" applyProtection="1">
      <alignment horizontal="center"/>
      <protection locked="0"/>
    </xf>
    <xf numFmtId="0" fontId="10" fillId="20" borderId="27" xfId="0" applyFont="1" applyFill="1" applyBorder="1" applyAlignment="1" applyProtection="1">
      <alignment horizontal="center"/>
      <protection locked="0"/>
    </xf>
    <xf numFmtId="0" fontId="10" fillId="18" borderId="26" xfId="9" applyFont="1" applyFill="1" applyBorder="1" applyAlignment="1" applyProtection="1">
      <alignment horizontal="center" vertical="center"/>
      <protection locked="0"/>
    </xf>
    <xf numFmtId="0" fontId="10" fillId="18" borderId="0" xfId="9" applyFont="1" applyFill="1" applyBorder="1" applyAlignment="1" applyProtection="1">
      <alignment horizontal="center" vertical="center"/>
      <protection locked="0"/>
    </xf>
    <xf numFmtId="0" fontId="10" fillId="18" borderId="27" xfId="9" applyFont="1" applyFill="1" applyBorder="1" applyAlignment="1" applyProtection="1">
      <alignment horizontal="center" vertical="center"/>
      <protection locked="0"/>
    </xf>
    <xf numFmtId="0" fontId="10" fillId="20" borderId="26" xfId="0" applyFont="1" applyFill="1" applyBorder="1" applyAlignment="1" applyProtection="1">
      <alignment horizontal="center"/>
      <protection locked="0"/>
    </xf>
    <xf numFmtId="165" fontId="9" fillId="0" borderId="0" xfId="13" applyFont="1" applyFill="1" applyBorder="1" applyProtection="1">
      <alignment horizontal="center"/>
      <protection locked="0"/>
    </xf>
    <xf numFmtId="0" fontId="10" fillId="18" borderId="0" xfId="0" applyFont="1" applyFill="1" applyBorder="1" applyAlignment="1" applyProtection="1">
      <alignment horizontal="center" vertical="center"/>
      <protection locked="0"/>
    </xf>
    <xf numFmtId="165" fontId="10" fillId="30" borderId="0" xfId="0" applyNumberFormat="1" applyFont="1" applyFill="1" applyBorder="1" applyAlignment="1" applyProtection="1">
      <alignment horizontal="center" vertical="center"/>
      <protection locked="0"/>
    </xf>
    <xf numFmtId="165" fontId="9" fillId="0" borderId="0" xfId="0" applyNumberFormat="1" applyFont="1" applyFill="1" applyBorder="1" applyAlignment="1" applyProtection="1">
      <alignment horizontal="center"/>
      <protection locked="0"/>
    </xf>
    <xf numFmtId="0" fontId="9" fillId="0" borderId="25" xfId="0" applyFont="1" applyFill="1" applyBorder="1" applyAlignment="1" applyProtection="1">
      <alignment horizontal="left"/>
      <protection locked="0"/>
    </xf>
    <xf numFmtId="0" fontId="42" fillId="0" borderId="24" xfId="0" applyFont="1" applyFill="1" applyBorder="1" applyProtection="1">
      <protection locked="0"/>
    </xf>
    <xf numFmtId="0" fontId="9" fillId="0" borderId="0" xfId="2" applyFont="1" applyFill="1" applyBorder="1" applyProtection="1">
      <protection locked="0"/>
    </xf>
    <xf numFmtId="0" fontId="4" fillId="0" borderId="24" xfId="0" applyFont="1" applyBorder="1" applyProtection="1">
      <protection locked="0"/>
    </xf>
    <xf numFmtId="165" fontId="9" fillId="0" borderId="0" xfId="7" applyFont="1" applyFill="1" applyBorder="1" applyAlignment="1" applyProtection="1">
      <alignment horizontal="right"/>
      <protection locked="0"/>
    </xf>
    <xf numFmtId="164" fontId="0" fillId="0" borderId="0" xfId="0" applyNumberFormat="1" applyBorder="1" applyAlignment="1">
      <alignment vertical="top"/>
    </xf>
    <xf numFmtId="1" fontId="1" fillId="0" borderId="91" xfId="0" applyNumberFormat="1" applyFont="1" applyBorder="1" applyAlignment="1">
      <alignment horizontal="center" vertical="center"/>
    </xf>
    <xf numFmtId="0" fontId="0" fillId="0" borderId="91" xfId="0" applyBorder="1" applyAlignment="1">
      <alignment vertical="center" wrapText="1"/>
    </xf>
    <xf numFmtId="0" fontId="0" fillId="0" borderId="91" xfId="0" applyFill="1" applyBorder="1" applyAlignment="1">
      <alignment vertical="center" wrapText="1"/>
    </xf>
    <xf numFmtId="0" fontId="0" fillId="0" borderId="91" xfId="0" applyBorder="1" applyAlignment="1">
      <alignment vertical="center"/>
    </xf>
    <xf numFmtId="0" fontId="4" fillId="0" borderId="0" xfId="0" applyFont="1" applyAlignment="1" applyProtection="1">
      <alignment horizontal="center"/>
      <protection locked="0"/>
    </xf>
    <xf numFmtId="165" fontId="14" fillId="15" borderId="26" xfId="19" applyFont="1" applyFill="1" applyBorder="1" applyProtection="1">
      <alignment horizontal="center"/>
      <protection locked="0"/>
    </xf>
    <xf numFmtId="0" fontId="14" fillId="18" borderId="26" xfId="9" applyFont="1" applyFill="1" applyBorder="1" applyProtection="1">
      <alignment horizontal="center" vertical="center"/>
      <protection locked="0"/>
    </xf>
    <xf numFmtId="165" fontId="14" fillId="15" borderId="27" xfId="19" applyFont="1" applyFill="1" applyBorder="1" applyProtection="1">
      <alignment horizontal="center"/>
      <protection locked="0"/>
    </xf>
    <xf numFmtId="0" fontId="14" fillId="18" borderId="27" xfId="9" applyFont="1" applyFill="1" applyBorder="1" applyProtection="1">
      <alignment horizontal="center" vertical="center"/>
      <protection locked="0"/>
    </xf>
    <xf numFmtId="0" fontId="10" fillId="0" borderId="0" xfId="9" applyFont="1" applyFill="1" applyBorder="1" applyAlignment="1" applyProtection="1">
      <alignment horizontal="center" vertical="center"/>
      <protection locked="0"/>
    </xf>
    <xf numFmtId="49" fontId="40" fillId="0" borderId="0" xfId="27" applyNumberFormat="1" applyFont="1" applyFill="1" applyBorder="1" applyAlignment="1" applyProtection="1">
      <alignment vertical="center"/>
      <protection locked="0"/>
    </xf>
    <xf numFmtId="49" fontId="38" fillId="0" borderId="26" xfId="27" applyNumberFormat="1" applyFont="1" applyFill="1" applyBorder="1" applyAlignment="1">
      <alignment vertical="center"/>
    </xf>
    <xf numFmtId="49" fontId="38" fillId="0" borderId="0" xfId="27" applyNumberFormat="1" applyFont="1" applyFill="1" applyBorder="1" applyAlignment="1">
      <alignment vertical="center"/>
    </xf>
    <xf numFmtId="0" fontId="39" fillId="0" borderId="0" xfId="27" applyNumberFormat="1" applyFont="1" applyFill="1" applyBorder="1" applyProtection="1">
      <protection locked="0"/>
    </xf>
    <xf numFmtId="49" fontId="34" fillId="0" borderId="3" xfId="27" applyNumberFormat="1" applyFont="1" applyFill="1" applyBorder="1" applyAlignment="1">
      <alignment horizontal="center" vertical="center" wrapText="1"/>
    </xf>
    <xf numFmtId="0" fontId="10" fillId="18" borderId="92" xfId="9" applyFont="1" applyFill="1" applyBorder="1" applyAlignment="1" applyProtection="1">
      <alignment horizontal="center" vertical="center"/>
      <protection locked="0"/>
    </xf>
    <xf numFmtId="0" fontId="10" fillId="18" borderId="93" xfId="9" applyFont="1" applyFill="1" applyBorder="1" applyAlignment="1" applyProtection="1">
      <alignment horizontal="center" vertical="center"/>
      <protection locked="0"/>
    </xf>
    <xf numFmtId="0" fontId="10" fillId="18" borderId="94" xfId="9" applyFont="1" applyFill="1" applyBorder="1" applyAlignment="1" applyProtection="1">
      <alignment horizontal="center" vertical="center"/>
      <protection locked="0"/>
    </xf>
    <xf numFmtId="49" fontId="32" fillId="0" borderId="62" xfId="27" applyNumberFormat="1" applyFont="1" applyFill="1" applyBorder="1" applyAlignment="1">
      <alignment vertical="top"/>
    </xf>
    <xf numFmtId="0" fontId="48" fillId="0" borderId="47" xfId="27" applyNumberFormat="1" applyFont="1" applyFill="1" applyBorder="1" applyAlignment="1">
      <alignment readingOrder="1"/>
    </xf>
    <xf numFmtId="49" fontId="32" fillId="0" borderId="47" xfId="27" applyNumberFormat="1" applyFont="1" applyFill="1" applyBorder="1" applyAlignment="1">
      <alignment readingOrder="1"/>
    </xf>
    <xf numFmtId="49" fontId="32" fillId="0" borderId="59" xfId="27" applyNumberFormat="1" applyFont="1" applyFill="1" applyBorder="1" applyAlignment="1">
      <alignment vertical="top"/>
    </xf>
    <xf numFmtId="49" fontId="32" fillId="0" borderId="0" xfId="27" applyNumberFormat="1" applyFont="1" applyFill="1" applyBorder="1" applyAlignment="1">
      <alignment vertical="top"/>
    </xf>
    <xf numFmtId="0" fontId="48" fillId="0" borderId="0" xfId="27" applyNumberFormat="1" applyFont="1" applyFill="1" applyAlignment="1">
      <alignment readingOrder="1"/>
    </xf>
    <xf numFmtId="49" fontId="32" fillId="0" borderId="0" xfId="27" applyNumberFormat="1" applyFont="1" applyFill="1" applyBorder="1" applyAlignment="1">
      <alignment readingOrder="1"/>
    </xf>
    <xf numFmtId="49" fontId="32" fillId="0" borderId="67" xfId="27" applyNumberFormat="1" applyFont="1" applyFill="1" applyBorder="1" applyAlignment="1">
      <alignment vertical="top"/>
    </xf>
    <xf numFmtId="49" fontId="32" fillId="0" borderId="45" xfId="27" applyNumberFormat="1" applyFont="1" applyFill="1" applyBorder="1" applyAlignment="1">
      <alignment vertical="top"/>
    </xf>
    <xf numFmtId="49" fontId="32" fillId="0" borderId="55" xfId="27" applyNumberFormat="1" applyFont="1" applyFill="1" applyBorder="1" applyAlignment="1">
      <alignment vertical="top"/>
    </xf>
    <xf numFmtId="49" fontId="34" fillId="0" borderId="30" xfId="27" applyNumberFormat="1" applyFont="1" applyFill="1" applyBorder="1" applyAlignment="1" applyProtection="1">
      <alignment vertical="center"/>
      <protection locked="0"/>
    </xf>
    <xf numFmtId="49" fontId="34" fillId="0" borderId="63" xfId="27" applyNumberFormat="1" applyFont="1" applyFill="1" applyBorder="1" applyAlignment="1" applyProtection="1">
      <alignment vertical="center"/>
      <protection locked="0"/>
    </xf>
    <xf numFmtId="49" fontId="35" fillId="0" borderId="29" xfId="27" applyNumberFormat="1" applyFont="1" applyFill="1" applyBorder="1" applyAlignment="1">
      <alignment vertical="center"/>
    </xf>
    <xf numFmtId="49" fontId="35" fillId="0" borderId="30" xfId="27" applyNumberFormat="1" applyFont="1" applyFill="1" applyBorder="1" applyAlignment="1">
      <alignment vertical="center"/>
    </xf>
    <xf numFmtId="49" fontId="39" fillId="0" borderId="0" xfId="27" applyNumberFormat="1" applyFont="1" applyFill="1" applyBorder="1" applyAlignment="1" applyProtection="1">
      <alignment vertical="center"/>
      <protection locked="0"/>
    </xf>
    <xf numFmtId="49" fontId="39" fillId="0" borderId="27" xfId="27" applyNumberFormat="1" applyFont="1" applyFill="1" applyBorder="1" applyAlignment="1" applyProtection="1">
      <alignment horizontal="left" vertical="center"/>
      <protection locked="0"/>
    </xf>
    <xf numFmtId="49" fontId="52" fillId="0" borderId="66" xfId="27" applyNumberFormat="1" applyFont="1" applyFill="1" applyBorder="1" applyAlignment="1" applyProtection="1">
      <alignment horizontal="center" vertical="center"/>
      <protection locked="0"/>
    </xf>
    <xf numFmtId="49" fontId="38" fillId="0" borderId="64" xfId="27" applyNumberFormat="1" applyFont="1" applyFill="1" applyBorder="1" applyAlignment="1"/>
    <xf numFmtId="49" fontId="54" fillId="0" borderId="0" xfId="27" applyNumberFormat="1" applyFont="1" applyFill="1" applyBorder="1" applyAlignment="1" applyProtection="1">
      <alignment horizontal="right"/>
      <protection locked="0"/>
    </xf>
    <xf numFmtId="49" fontId="34" fillId="0" borderId="29" xfId="27" applyNumberFormat="1" applyFont="1" applyFill="1" applyBorder="1" applyAlignment="1">
      <alignment horizontal="left" vertical="center"/>
    </xf>
    <xf numFmtId="49" fontId="55" fillId="0" borderId="30" xfId="27" applyNumberFormat="1" applyFont="1" applyFill="1" applyBorder="1" applyAlignment="1">
      <alignment horizontal="center" vertical="center"/>
    </xf>
    <xf numFmtId="49" fontId="38" fillId="0" borderId="30" xfId="27" applyNumberFormat="1" applyFont="1" applyFill="1" applyBorder="1" applyAlignment="1">
      <alignment horizontal="center" vertical="center"/>
    </xf>
    <xf numFmtId="49" fontId="34" fillId="0" borderId="30" xfId="27" applyNumberFormat="1" applyFont="1" applyFill="1" applyBorder="1" applyAlignment="1">
      <alignment horizontal="left" vertical="center"/>
    </xf>
    <xf numFmtId="49" fontId="55" fillId="0" borderId="63" xfId="27" applyNumberFormat="1" applyFont="1" applyFill="1" applyBorder="1" applyAlignment="1">
      <alignment horizontal="center" vertical="center"/>
    </xf>
    <xf numFmtId="0" fontId="39" fillId="0" borderId="27" xfId="27" applyNumberFormat="1" applyFont="1" applyFill="1" applyBorder="1" applyProtection="1">
      <protection locked="0"/>
    </xf>
    <xf numFmtId="49" fontId="53" fillId="0" borderId="0" xfId="27" applyNumberFormat="1" applyFont="1" applyFill="1" applyBorder="1" applyProtection="1">
      <protection locked="0"/>
    </xf>
    <xf numFmtId="49" fontId="34" fillId="0" borderId="26" xfId="27" applyNumberFormat="1" applyFont="1" applyFill="1" applyBorder="1" applyAlignment="1" applyProtection="1">
      <protection locked="0"/>
    </xf>
    <xf numFmtId="49" fontId="34" fillId="0" borderId="0" xfId="27" applyNumberFormat="1" applyFont="1" applyFill="1" applyBorder="1" applyAlignment="1" applyProtection="1">
      <protection locked="0"/>
    </xf>
    <xf numFmtId="49" fontId="34" fillId="0" borderId="47" xfId="27" applyNumberFormat="1" applyFont="1" applyFill="1" applyBorder="1" applyAlignment="1" applyProtection="1">
      <alignment horizontal="center"/>
      <protection locked="0"/>
    </xf>
    <xf numFmtId="49" fontId="34" fillId="0" borderId="0" xfId="27" applyNumberFormat="1" applyFont="1" applyFill="1" applyBorder="1" applyAlignment="1" applyProtection="1">
      <alignment horizontal="center"/>
      <protection locked="0"/>
    </xf>
    <xf numFmtId="49" fontId="37" fillId="0" borderId="0" xfId="27" applyNumberFormat="1" applyFont="1" applyFill="1" applyBorder="1" applyAlignment="1">
      <alignment horizontal="center"/>
    </xf>
    <xf numFmtId="169" fontId="57" fillId="0" borderId="3" xfId="27" applyNumberFormat="1" applyFont="1" applyFill="1" applyBorder="1" applyAlignment="1" applyProtection="1">
      <alignment horizontal="center"/>
      <protection locked="0"/>
    </xf>
    <xf numFmtId="49" fontId="38" fillId="0" borderId="0" xfId="27" applyNumberFormat="1" applyFont="1" applyFill="1"/>
    <xf numFmtId="49" fontId="57" fillId="0" borderId="0" xfId="27" applyNumberFormat="1" applyFont="1" applyFill="1" applyBorder="1" applyAlignment="1" applyProtection="1">
      <alignment horizontal="left"/>
      <protection locked="0"/>
    </xf>
    <xf numFmtId="49" fontId="57" fillId="0" borderId="0" xfId="27" applyNumberFormat="1" applyFont="1" applyFill="1" applyBorder="1" applyAlignment="1" applyProtection="1">
      <protection locked="0"/>
    </xf>
    <xf numFmtId="49" fontId="58" fillId="0" borderId="0" xfId="27" applyNumberFormat="1" applyFont="1" applyFill="1" applyBorder="1" applyProtection="1">
      <protection locked="0"/>
    </xf>
    <xf numFmtId="49" fontId="57" fillId="0" borderId="0" xfId="27" applyNumberFormat="1" applyFont="1" applyFill="1" applyBorder="1" applyAlignment="1" applyProtection="1">
      <alignment horizontal="center" vertical="top"/>
      <protection locked="0"/>
    </xf>
    <xf numFmtId="49" fontId="57" fillId="0" borderId="0" xfId="27" applyNumberFormat="1" applyFont="1" applyFill="1" applyBorder="1" applyAlignment="1" applyProtection="1">
      <alignment horizontal="left" vertical="top"/>
      <protection locked="0"/>
    </xf>
    <xf numFmtId="49" fontId="38" fillId="0" borderId="0" xfId="27" applyNumberFormat="1" applyFont="1" applyFill="1" applyAlignment="1" applyProtection="1">
      <alignment horizontal="left"/>
      <protection locked="0"/>
    </xf>
    <xf numFmtId="49" fontId="34" fillId="0" borderId="0" xfId="27" applyNumberFormat="1" applyFont="1" applyFill="1" applyBorder="1" applyAlignment="1" applyProtection="1">
      <alignment horizontal="left" indent="3"/>
      <protection locked="0"/>
    </xf>
    <xf numFmtId="49" fontId="34" fillId="0" borderId="0" xfId="27" applyNumberFormat="1" applyFont="1" applyFill="1" applyBorder="1" applyAlignment="1" applyProtection="1">
      <alignment horizontal="left" indent="1"/>
      <protection locked="0"/>
    </xf>
    <xf numFmtId="49" fontId="38" fillId="0" borderId="0" xfId="27" applyNumberFormat="1" applyFont="1" applyFill="1" applyAlignment="1">
      <alignment horizontal="right"/>
    </xf>
    <xf numFmtId="49" fontId="57" fillId="0" borderId="0" xfId="27" applyNumberFormat="1" applyFont="1" applyFill="1" applyBorder="1" applyAlignment="1" applyProtection="1">
      <alignment horizontal="center"/>
      <protection locked="0"/>
    </xf>
    <xf numFmtId="49" fontId="38" fillId="0" borderId="0" xfId="27" applyNumberFormat="1" applyFont="1" applyFill="1" applyAlignment="1">
      <alignment horizontal="left"/>
    </xf>
    <xf numFmtId="49" fontId="32" fillId="0" borderId="0" xfId="27" applyNumberFormat="1" applyFont="1" applyFill="1" applyAlignment="1">
      <alignment horizontal="left"/>
    </xf>
    <xf numFmtId="49" fontId="32" fillId="0" borderId="0" xfId="27" applyNumberFormat="1" applyFont="1" applyFill="1" applyBorder="1" applyAlignment="1">
      <alignment horizontal="center"/>
    </xf>
    <xf numFmtId="49" fontId="36" fillId="0" borderId="0" xfId="27" applyNumberFormat="1" applyFont="1" applyFill="1" applyAlignment="1" applyProtection="1">
      <alignment horizontal="left"/>
      <protection locked="0"/>
    </xf>
    <xf numFmtId="49" fontId="38" fillId="0" borderId="0" xfId="27" applyNumberFormat="1" applyFont="1" applyFill="1" applyAlignment="1">
      <alignment horizontal="center"/>
    </xf>
    <xf numFmtId="49" fontId="38" fillId="0" borderId="0" xfId="27" applyNumberFormat="1" applyFont="1" applyFill="1" applyBorder="1" applyAlignment="1">
      <alignment horizontal="right"/>
    </xf>
    <xf numFmtId="49" fontId="32" fillId="0" borderId="0" xfId="27" applyNumberFormat="1" applyFont="1" applyFill="1" applyAlignment="1">
      <alignment horizontal="right"/>
    </xf>
    <xf numFmtId="49" fontId="38" fillId="0" borderId="0" xfId="27" applyNumberFormat="1" applyFont="1" applyFill="1" applyAlignment="1">
      <alignment horizontal="centerContinuous"/>
    </xf>
    <xf numFmtId="49" fontId="38" fillId="0" borderId="0" xfId="27" applyNumberFormat="1" applyFont="1" applyFill="1" applyAlignment="1" applyProtection="1"/>
    <xf numFmtId="49" fontId="60" fillId="0" borderId="0" xfId="27" applyNumberFormat="1" applyFont="1" applyFill="1"/>
    <xf numFmtId="49" fontId="60" fillId="0" borderId="0" xfId="27" applyNumberFormat="1" applyFont="1" applyFill="1" applyBorder="1" applyAlignment="1">
      <alignment horizontal="left"/>
    </xf>
    <xf numFmtId="49" fontId="38" fillId="0" borderId="0" xfId="27" applyNumberFormat="1" applyFont="1" applyFill="1" applyAlignment="1"/>
    <xf numFmtId="49" fontId="39" fillId="0" borderId="0" xfId="27" applyNumberFormat="1" applyFont="1" applyFill="1" applyAlignment="1" applyProtection="1">
      <alignment horizontal="center"/>
      <protection locked="0"/>
    </xf>
    <xf numFmtId="49" fontId="38" fillId="0" borderId="0" xfId="27" applyNumberFormat="1" applyFont="1" applyFill="1" applyBorder="1" applyAlignment="1"/>
    <xf numFmtId="49" fontId="58" fillId="0" borderId="0" xfId="27" applyNumberFormat="1" applyFont="1" applyFill="1" applyBorder="1" applyAlignment="1" applyProtection="1">
      <protection locked="0"/>
    </xf>
    <xf numFmtId="49" fontId="34" fillId="0" borderId="0" xfId="27" applyNumberFormat="1" applyFont="1" applyFill="1" applyBorder="1" applyAlignment="1" applyProtection="1">
      <alignment horizontal="right"/>
      <protection locked="0"/>
    </xf>
    <xf numFmtId="49" fontId="40" fillId="0" borderId="0" xfId="27" applyNumberFormat="1" applyFont="1" applyFill="1" applyBorder="1" applyAlignment="1" applyProtection="1">
      <alignment horizontal="left"/>
      <protection locked="0"/>
    </xf>
    <xf numFmtId="49" fontId="62" fillId="0" borderId="0" xfId="38" applyNumberFormat="1" applyFont="1" applyFill="1" applyBorder="1" applyAlignment="1" applyProtection="1">
      <alignment horizontal="left"/>
      <protection locked="0"/>
    </xf>
    <xf numFmtId="0" fontId="14" fillId="0" borderId="8" xfId="0" applyFont="1" applyFill="1" applyBorder="1" applyAlignment="1" applyProtection="1">
      <alignment horizontal="left"/>
      <protection locked="0"/>
    </xf>
    <xf numFmtId="14" fontId="16" fillId="0" borderId="8" xfId="0" applyNumberFormat="1" applyFont="1" applyFill="1" applyBorder="1" applyAlignment="1" applyProtection="1">
      <alignment horizontal="center"/>
      <protection locked="0"/>
    </xf>
    <xf numFmtId="0" fontId="16" fillId="0" borderId="8" xfId="0" applyFont="1" applyFill="1" applyBorder="1" applyAlignment="1" applyProtection="1">
      <alignment horizontal="center"/>
      <protection locked="0"/>
    </xf>
    <xf numFmtId="0" fontId="16" fillId="0" borderId="23" xfId="0" applyFont="1" applyFill="1" applyBorder="1" applyAlignment="1" applyProtection="1">
      <alignment horizontal="center"/>
      <protection locked="0"/>
    </xf>
    <xf numFmtId="0" fontId="10" fillId="0" borderId="23" xfId="0" applyFont="1" applyFill="1" applyBorder="1" applyAlignment="1" applyProtection="1">
      <alignment horizontal="left"/>
      <protection locked="0"/>
    </xf>
    <xf numFmtId="0" fontId="10" fillId="0" borderId="0" xfId="0" applyFont="1" applyFill="1" applyBorder="1" applyAlignment="1" applyProtection="1">
      <alignment horizontal="left"/>
      <protection locked="0"/>
    </xf>
    <xf numFmtId="0" fontId="14" fillId="0" borderId="0" xfId="0" applyFont="1" applyFill="1" applyBorder="1" applyAlignment="1" applyProtection="1">
      <alignment horizontal="center"/>
      <protection locked="0"/>
    </xf>
    <xf numFmtId="0" fontId="22" fillId="0" borderId="0" xfId="0" applyFont="1" applyFill="1" applyBorder="1" applyAlignment="1" applyProtection="1">
      <alignment horizontal="center"/>
      <protection locked="0"/>
    </xf>
    <xf numFmtId="0" fontId="10" fillId="18" borderId="26" xfId="8" applyFont="1" applyFill="1" applyBorder="1" applyAlignment="1" applyProtection="1">
      <alignment horizontal="center" vertical="center"/>
      <protection locked="0"/>
    </xf>
    <xf numFmtId="0" fontId="10" fillId="18" borderId="0" xfId="8" applyFont="1" applyFill="1" applyBorder="1" applyAlignment="1" applyProtection="1">
      <alignment horizontal="center" vertical="center"/>
      <protection locked="0"/>
    </xf>
    <xf numFmtId="0" fontId="10" fillId="18" borderId="27" xfId="8" applyFont="1" applyFill="1" applyBorder="1" applyAlignment="1" applyProtection="1">
      <alignment horizontal="center" vertical="center"/>
      <protection locked="0"/>
    </xf>
    <xf numFmtId="0" fontId="38" fillId="0" borderId="0" xfId="27" applyNumberFormat="1" applyFont="1" applyFill="1" applyBorder="1" applyAlignment="1">
      <alignment horizontal="center"/>
    </xf>
    <xf numFmtId="0" fontId="47" fillId="0" borderId="0" xfId="27" applyNumberFormat="1" applyFont="1" applyFill="1" applyAlignment="1">
      <alignment horizontal="center" vertical="center"/>
    </xf>
    <xf numFmtId="0" fontId="47" fillId="0" borderId="67" xfId="27" applyNumberFormat="1" applyFont="1" applyFill="1" applyBorder="1" applyAlignment="1">
      <alignment horizontal="center" vertical="center"/>
    </xf>
    <xf numFmtId="49" fontId="40" fillId="0" borderId="26" xfId="27" applyNumberFormat="1" applyFont="1" applyFill="1" applyBorder="1" applyAlignment="1" applyProtection="1">
      <alignment horizontal="center" vertical="center"/>
      <protection locked="0"/>
    </xf>
    <xf numFmtId="49" fontId="40" fillId="0" borderId="0" xfId="27" applyNumberFormat="1" applyFont="1" applyFill="1" applyBorder="1" applyAlignment="1" applyProtection="1">
      <alignment horizontal="center" vertical="center"/>
      <protection locked="0"/>
    </xf>
    <xf numFmtId="49" fontId="40" fillId="0" borderId="67" xfId="27" applyNumberFormat="1" applyFont="1" applyFill="1" applyBorder="1" applyAlignment="1" applyProtection="1">
      <alignment horizontal="center" vertical="center"/>
      <protection locked="0"/>
    </xf>
    <xf numFmtId="49" fontId="34" fillId="0" borderId="0" xfId="27" applyNumberFormat="1" applyFont="1" applyFill="1" applyBorder="1" applyAlignment="1">
      <alignment vertical="center"/>
    </xf>
    <xf numFmtId="49" fontId="34" fillId="0" borderId="27" xfId="27" applyNumberFormat="1" applyFont="1" applyFill="1" applyBorder="1" applyAlignment="1">
      <alignment vertical="center"/>
    </xf>
    <xf numFmtId="49" fontId="40" fillId="0" borderId="0" xfId="27" applyNumberFormat="1" applyFont="1" applyFill="1" applyBorder="1" applyAlignment="1" applyProtection="1">
      <alignment vertical="center"/>
      <protection locked="0"/>
    </xf>
    <xf numFmtId="49" fontId="40" fillId="0" borderId="27" xfId="27" applyNumberFormat="1" applyFont="1" applyFill="1" applyBorder="1" applyAlignment="1" applyProtection="1">
      <alignment vertical="center"/>
      <protection locked="0"/>
    </xf>
    <xf numFmtId="49" fontId="49" fillId="0" borderId="0" xfId="27" applyNumberFormat="1" applyFont="1" applyFill="1" applyBorder="1" applyAlignment="1">
      <alignment horizontal="center" vertical="center"/>
    </xf>
    <xf numFmtId="49" fontId="49" fillId="0" borderId="67" xfId="27" applyNumberFormat="1" applyFont="1" applyFill="1" applyBorder="1" applyAlignment="1">
      <alignment horizontal="center" vertical="center"/>
    </xf>
    <xf numFmtId="49" fontId="38" fillId="0" borderId="29" xfId="27" applyNumberFormat="1" applyFont="1" applyFill="1" applyBorder="1" applyAlignment="1">
      <alignment horizontal="left" vertical="center"/>
    </xf>
    <xf numFmtId="49" fontId="38" fillId="0" borderId="30" xfId="27" applyNumberFormat="1" applyFont="1" applyFill="1" applyBorder="1" applyAlignment="1">
      <alignment horizontal="left" vertical="center"/>
    </xf>
    <xf numFmtId="49" fontId="38" fillId="0" borderId="68" xfId="27" applyNumberFormat="1" applyFont="1" applyFill="1" applyBorder="1" applyAlignment="1">
      <alignment horizontal="left" vertical="center"/>
    </xf>
    <xf numFmtId="49" fontId="35" fillId="0" borderId="29" xfId="27" applyNumberFormat="1" applyFont="1" applyFill="1" applyBorder="1" applyAlignment="1">
      <alignment vertical="center"/>
    </xf>
    <xf numFmtId="49" fontId="35" fillId="0" borderId="30" xfId="27" applyNumberFormat="1" applyFont="1" applyFill="1" applyBorder="1" applyAlignment="1">
      <alignment vertical="center"/>
    </xf>
    <xf numFmtId="49" fontId="40" fillId="0" borderId="30" xfId="27" applyNumberFormat="1" applyFont="1" applyFill="1" applyBorder="1" applyAlignment="1" applyProtection="1">
      <alignment horizontal="center" vertical="center"/>
      <protection locked="0"/>
    </xf>
    <xf numFmtId="49" fontId="38" fillId="0" borderId="26" xfId="27" applyNumberFormat="1" applyFont="1" applyFill="1" applyBorder="1" applyAlignment="1">
      <alignment vertical="center"/>
    </xf>
    <xf numFmtId="49" fontId="38" fillId="0" borderId="0" xfId="27" applyNumberFormat="1" applyFont="1" applyFill="1" applyBorder="1" applyAlignment="1">
      <alignment vertical="center"/>
    </xf>
    <xf numFmtId="49" fontId="34" fillId="0" borderId="3" xfId="27" applyNumberFormat="1" applyFont="1" applyFill="1" applyBorder="1" applyAlignment="1">
      <alignment horizontal="center" vertical="center"/>
    </xf>
    <xf numFmtId="49" fontId="57" fillId="0" borderId="3" xfId="27" applyNumberFormat="1" applyFont="1" applyFill="1" applyBorder="1" applyAlignment="1" applyProtection="1">
      <alignment horizontal="center"/>
      <protection locked="0"/>
    </xf>
    <xf numFmtId="49" fontId="57" fillId="0" borderId="49" xfId="27" applyNumberFormat="1" applyFont="1" applyFill="1" applyBorder="1" applyAlignment="1" applyProtection="1">
      <alignment horizontal="center"/>
      <protection locked="0"/>
    </xf>
    <xf numFmtId="49" fontId="57" fillId="0" borderId="46" xfId="27" applyNumberFormat="1" applyFont="1" applyFill="1" applyBorder="1" applyAlignment="1" applyProtection="1">
      <alignment horizontal="center"/>
      <protection locked="0"/>
    </xf>
    <xf numFmtId="49" fontId="57" fillId="0" borderId="51" xfId="27" applyNumberFormat="1" applyFont="1" applyFill="1" applyBorder="1" applyAlignment="1" applyProtection="1">
      <alignment horizontal="center"/>
      <protection locked="0"/>
    </xf>
    <xf numFmtId="49" fontId="35" fillId="0" borderId="30" xfId="27" applyNumberFormat="1" applyFont="1" applyFill="1" applyBorder="1" applyAlignment="1">
      <alignment horizontal="right" vertical="center"/>
    </xf>
    <xf numFmtId="49" fontId="34" fillId="0" borderId="30" xfId="27" applyNumberFormat="1" applyFont="1" applyFill="1" applyBorder="1" applyAlignment="1" applyProtection="1">
      <alignment horizontal="left" vertical="center" indent="1"/>
      <protection locked="0"/>
    </xf>
    <xf numFmtId="49" fontId="56" fillId="0" borderId="26" xfId="27" applyNumberFormat="1" applyFont="1" applyFill="1" applyBorder="1"/>
    <xf numFmtId="49" fontId="56" fillId="0" borderId="0" xfId="27" applyNumberFormat="1" applyFont="1" applyFill="1" applyBorder="1"/>
    <xf numFmtId="0" fontId="39" fillId="0" borderId="0" xfId="27" applyNumberFormat="1" applyFont="1" applyFill="1" applyBorder="1" applyProtection="1">
      <protection locked="0"/>
    </xf>
    <xf numFmtId="49" fontId="32" fillId="0" borderId="0" xfId="27" applyNumberFormat="1" applyFont="1" applyFill="1" applyBorder="1"/>
    <xf numFmtId="49" fontId="34" fillId="0" borderId="0" xfId="27" applyNumberFormat="1" applyFont="1" applyFill="1" applyBorder="1" applyAlignment="1" applyProtection="1">
      <alignment horizontal="left"/>
      <protection locked="0"/>
    </xf>
    <xf numFmtId="49" fontId="34" fillId="0" borderId="27" xfId="27" applyNumberFormat="1" applyFont="1" applyFill="1" applyBorder="1" applyAlignment="1" applyProtection="1">
      <alignment horizontal="left"/>
      <protection locked="0"/>
    </xf>
    <xf numFmtId="49" fontId="54" fillId="0" borderId="0" xfId="27" applyNumberFormat="1" applyFont="1" applyFill="1" applyAlignment="1">
      <alignment horizontal="left"/>
    </xf>
    <xf numFmtId="49" fontId="57" fillId="0" borderId="54" xfId="27" applyNumberFormat="1" applyFont="1" applyFill="1" applyBorder="1" applyAlignment="1" applyProtection="1">
      <alignment horizontal="center"/>
      <protection locked="0"/>
    </xf>
    <xf numFmtId="49" fontId="57" fillId="0" borderId="52" xfId="27" applyNumberFormat="1" applyFont="1" applyFill="1" applyBorder="1" applyAlignment="1" applyProtection="1">
      <alignment horizontal="center"/>
      <protection locked="0"/>
    </xf>
    <xf numFmtId="49" fontId="57" fillId="0" borderId="50" xfId="27" applyNumberFormat="1" applyFont="1" applyFill="1" applyBorder="1" applyAlignment="1" applyProtection="1">
      <alignment horizontal="center"/>
      <protection locked="0"/>
    </xf>
    <xf numFmtId="49" fontId="57" fillId="0" borderId="48" xfId="27" applyNumberFormat="1" applyFont="1" applyFill="1" applyBorder="1" applyAlignment="1" applyProtection="1">
      <alignment horizontal="center"/>
      <protection locked="0"/>
    </xf>
    <xf numFmtId="49" fontId="58" fillId="0" borderId="65" xfId="27" applyNumberFormat="1" applyFont="1" applyFill="1" applyBorder="1" applyProtection="1">
      <protection locked="0"/>
    </xf>
    <xf numFmtId="49" fontId="58" fillId="0" borderId="53" xfId="27" applyNumberFormat="1" applyFont="1" applyFill="1" applyBorder="1" applyProtection="1">
      <protection locked="0"/>
    </xf>
    <xf numFmtId="49" fontId="58" fillId="0" borderId="64" xfId="27" applyNumberFormat="1" applyFont="1" applyFill="1" applyBorder="1" applyProtection="1">
      <protection locked="0"/>
    </xf>
    <xf numFmtId="0" fontId="39" fillId="0" borderId="0" xfId="27" applyNumberFormat="1" applyFont="1" applyFill="1" applyBorder="1" applyAlignment="1" applyProtection="1">
      <alignment horizontal="left"/>
      <protection locked="0"/>
    </xf>
    <xf numFmtId="49" fontId="39" fillId="0" borderId="0" xfId="27" applyNumberFormat="1" applyFont="1" applyFill="1" applyBorder="1" applyAlignment="1" applyProtection="1">
      <alignment horizontal="left"/>
      <protection locked="0"/>
    </xf>
    <xf numFmtId="49" fontId="53" fillId="0" borderId="0" xfId="27" applyNumberFormat="1" applyFont="1" applyFill="1" applyBorder="1" applyProtection="1">
      <protection locked="0"/>
    </xf>
    <xf numFmtId="49" fontId="53" fillId="0" borderId="27" xfId="27" applyNumberFormat="1" applyFont="1" applyFill="1" applyBorder="1" applyProtection="1">
      <protection locked="0"/>
    </xf>
    <xf numFmtId="49" fontId="58" fillId="0" borderId="0" xfId="27" applyNumberFormat="1" applyFont="1" applyFill="1" applyBorder="1" applyProtection="1">
      <protection locked="0"/>
    </xf>
    <xf numFmtId="49" fontId="58" fillId="0" borderId="27" xfId="27" applyNumberFormat="1" applyFont="1" applyFill="1" applyBorder="1" applyProtection="1">
      <protection locked="0"/>
    </xf>
    <xf numFmtId="49" fontId="57" fillId="0" borderId="0" xfId="27" applyNumberFormat="1" applyFont="1" applyFill="1" applyBorder="1" applyAlignment="1" applyProtection="1">
      <alignment horizontal="left" vertical="center" indent="1"/>
      <protection locked="0"/>
    </xf>
    <xf numFmtId="49" fontId="38" fillId="0" borderId="0" xfId="27" applyNumberFormat="1" applyFont="1" applyFill="1" applyBorder="1" applyProtection="1">
      <protection locked="0"/>
    </xf>
    <xf numFmtId="49" fontId="38" fillId="0" borderId="27" xfId="27" applyNumberFormat="1" applyFont="1" applyFill="1" applyBorder="1" applyProtection="1">
      <protection locked="0"/>
    </xf>
    <xf numFmtId="0" fontId="11" fillId="0" borderId="47" xfId="27" applyNumberFormat="1" applyFont="1" applyFill="1" applyBorder="1"/>
    <xf numFmtId="49" fontId="57" fillId="0" borderId="3" xfId="27" applyNumberFormat="1" applyFont="1" applyFill="1" applyBorder="1" applyAlignment="1" applyProtection="1">
      <protection locked="0"/>
    </xf>
    <xf numFmtId="49" fontId="34" fillId="0" borderId="60" xfId="27" applyNumberFormat="1" applyFont="1" applyFill="1" applyBorder="1" applyAlignment="1">
      <alignment horizontal="center" vertical="center"/>
    </xf>
    <xf numFmtId="49" fontId="34" fillId="0" borderId="47" xfId="27" applyNumberFormat="1" applyFont="1" applyFill="1" applyBorder="1" applyAlignment="1">
      <alignment horizontal="center" vertical="center"/>
    </xf>
    <xf numFmtId="49" fontId="34" fillId="0" borderId="59" xfId="27" applyNumberFormat="1" applyFont="1" applyFill="1" applyBorder="1" applyAlignment="1">
      <alignment horizontal="center" vertical="center"/>
    </xf>
    <xf numFmtId="49" fontId="34" fillId="0" borderId="56" xfId="27" applyNumberFormat="1" applyFont="1" applyFill="1" applyBorder="1" applyAlignment="1">
      <alignment horizontal="center" vertical="center"/>
    </xf>
    <xf numFmtId="49" fontId="34" fillId="0" borderId="45" xfId="27" applyNumberFormat="1" applyFont="1" applyFill="1" applyBorder="1" applyAlignment="1">
      <alignment horizontal="center" vertical="center"/>
    </xf>
    <xf numFmtId="49" fontId="34" fillId="0" borderId="55" xfId="27" applyNumberFormat="1" applyFont="1" applyFill="1" applyBorder="1" applyAlignment="1">
      <alignment horizontal="center" vertical="center"/>
    </xf>
    <xf numFmtId="49" fontId="34" fillId="0" borderId="29" xfId="27" applyNumberFormat="1" applyFont="1" applyFill="1" applyBorder="1" applyAlignment="1">
      <alignment horizontal="center" vertical="center" wrapText="1"/>
    </xf>
    <xf numFmtId="49" fontId="34" fillId="0" borderId="63" xfId="27" applyNumberFormat="1" applyFont="1" applyFill="1" applyBorder="1" applyAlignment="1">
      <alignment horizontal="center" vertical="center" wrapText="1"/>
    </xf>
    <xf numFmtId="49" fontId="34" fillId="0" borderId="56" xfId="27" applyNumberFormat="1" applyFont="1" applyFill="1" applyBorder="1" applyAlignment="1">
      <alignment horizontal="center" vertical="center" wrapText="1"/>
    </xf>
    <xf numFmtId="49" fontId="34" fillId="0" borderId="57" xfId="27" applyNumberFormat="1" applyFont="1" applyFill="1" applyBorder="1" applyAlignment="1">
      <alignment horizontal="center" vertical="center" wrapText="1"/>
    </xf>
    <xf numFmtId="49" fontId="38" fillId="0" borderId="53" xfId="27" applyNumberFormat="1" applyFont="1" applyFill="1" applyBorder="1"/>
    <xf numFmtId="49" fontId="38" fillId="0" borderId="65" xfId="27" applyNumberFormat="1" applyFont="1" applyFill="1" applyBorder="1" applyAlignment="1" applyProtection="1">
      <alignment vertical="center"/>
    </xf>
    <xf numFmtId="49" fontId="38" fillId="0" borderId="53" xfId="27" applyNumberFormat="1" applyFont="1" applyFill="1" applyBorder="1" applyAlignment="1" applyProtection="1">
      <alignment vertical="center"/>
    </xf>
    <xf numFmtId="49" fontId="53" fillId="0" borderId="30" xfId="27" applyNumberFormat="1" applyFont="1" applyFill="1" applyBorder="1" applyProtection="1">
      <protection locked="0"/>
    </xf>
    <xf numFmtId="49" fontId="50" fillId="0" borderId="28" xfId="27" applyNumberFormat="1" applyFont="1" applyFill="1" applyBorder="1" applyAlignment="1" applyProtection="1">
      <alignment horizontal="center" vertical="center"/>
      <protection locked="0"/>
    </xf>
    <xf numFmtId="49" fontId="40" fillId="0" borderId="53" xfId="27" applyNumberFormat="1" applyFont="1" applyFill="1" applyBorder="1" applyAlignment="1">
      <alignment horizontal="left" vertical="center" indent="2"/>
    </xf>
    <xf numFmtId="49" fontId="50" fillId="0" borderId="0" xfId="27" applyNumberFormat="1" applyFont="1" applyFill="1" applyBorder="1" applyAlignment="1" applyProtection="1">
      <alignment horizontal="left" vertical="center" indent="1"/>
      <protection locked="0"/>
    </xf>
    <xf numFmtId="49" fontId="51" fillId="0" borderId="65" xfId="27" applyNumberFormat="1" applyFont="1" applyFill="1" applyBorder="1" applyAlignment="1" applyProtection="1">
      <alignment horizontal="left" vertical="center" indent="1"/>
      <protection locked="0"/>
    </xf>
    <xf numFmtId="49" fontId="51" fillId="0" borderId="53" xfId="27" applyNumberFormat="1" applyFont="1" applyFill="1" applyBorder="1" applyAlignment="1" applyProtection="1">
      <alignment horizontal="left" vertical="center" indent="1"/>
      <protection locked="0"/>
    </xf>
    <xf numFmtId="49" fontId="38" fillId="0" borderId="0" xfId="27" applyNumberFormat="1" applyFont="1" applyFill="1" applyBorder="1" applyAlignment="1">
      <alignment horizontal="right" vertical="center"/>
    </xf>
    <xf numFmtId="49" fontId="50" fillId="0" borderId="0" xfId="27" applyNumberFormat="1" applyFont="1" applyFill="1" applyBorder="1" applyAlignment="1" applyProtection="1">
      <alignment vertical="center"/>
      <protection locked="0"/>
    </xf>
    <xf numFmtId="49" fontId="40" fillId="0" borderId="53" xfId="27" applyNumberFormat="1" applyFont="1" applyFill="1" applyBorder="1" applyAlignment="1" applyProtection="1">
      <alignment horizontal="center" vertical="center"/>
      <protection locked="0"/>
    </xf>
    <xf numFmtId="49" fontId="40" fillId="0" borderId="64" xfId="27" applyNumberFormat="1" applyFont="1" applyFill="1" applyBorder="1" applyAlignment="1" applyProtection="1">
      <alignment horizontal="center" vertical="center"/>
      <protection locked="0"/>
    </xf>
    <xf numFmtId="49" fontId="51" fillId="0" borderId="30" xfId="27" applyNumberFormat="1" applyFont="1" applyFill="1" applyBorder="1" applyAlignment="1" applyProtection="1">
      <alignment horizontal="left" vertical="center"/>
    </xf>
    <xf numFmtId="49" fontId="38" fillId="0" borderId="30" xfId="27" applyNumberFormat="1" applyFont="1" applyFill="1" applyBorder="1"/>
    <xf numFmtId="49" fontId="54" fillId="0" borderId="0" xfId="27" applyNumberFormat="1" applyFont="1" applyFill="1" applyBorder="1" applyAlignment="1" applyProtection="1">
      <alignment horizontal="right"/>
      <protection locked="0"/>
    </xf>
    <xf numFmtId="49" fontId="50" fillId="0" borderId="0" xfId="27" applyNumberFormat="1" applyFont="1" applyFill="1" applyBorder="1" applyAlignment="1" applyProtection="1">
      <alignment horizontal="center" vertical="center"/>
      <protection locked="0"/>
    </xf>
    <xf numFmtId="49" fontId="50" fillId="0" borderId="27" xfId="27" applyNumberFormat="1" applyFont="1" applyFill="1" applyBorder="1" applyAlignment="1" applyProtection="1">
      <alignment horizontal="center" vertical="center"/>
      <protection locked="0"/>
    </xf>
    <xf numFmtId="49" fontId="56" fillId="0" borderId="26" xfId="27" applyNumberFormat="1" applyFont="1" applyFill="1" applyBorder="1" applyAlignment="1">
      <alignment horizontal="left"/>
    </xf>
    <xf numFmtId="49" fontId="56" fillId="0" borderId="0" xfId="27" applyNumberFormat="1" applyFont="1" applyFill="1" applyBorder="1" applyAlignment="1">
      <alignment horizontal="left"/>
    </xf>
    <xf numFmtId="49" fontId="36" fillId="0" borderId="58" xfId="27" applyNumberFormat="1" applyFont="1" applyFill="1" applyBorder="1" applyAlignment="1">
      <alignment horizontal="center" vertical="center" wrapText="1"/>
    </xf>
    <xf numFmtId="49" fontId="36" fillId="0" borderId="45" xfId="27" applyNumberFormat="1" applyFont="1" applyFill="1" applyBorder="1" applyAlignment="1">
      <alignment horizontal="center" vertical="center" wrapText="1"/>
    </xf>
    <xf numFmtId="49" fontId="36" fillId="0" borderId="57" xfId="27" applyNumberFormat="1" applyFont="1" applyFill="1" applyBorder="1" applyAlignment="1">
      <alignment horizontal="center" vertical="center" wrapText="1"/>
    </xf>
    <xf numFmtId="49" fontId="34" fillId="0" borderId="62" xfId="27" applyNumberFormat="1" applyFont="1" applyFill="1" applyBorder="1" applyAlignment="1">
      <alignment horizontal="center" vertical="center"/>
    </xf>
    <xf numFmtId="0" fontId="11" fillId="0" borderId="61" xfId="27" applyNumberFormat="1" applyFont="1" applyFill="1" applyBorder="1"/>
    <xf numFmtId="0" fontId="11" fillId="0" borderId="58" xfId="27" applyNumberFormat="1" applyFont="1" applyFill="1" applyBorder="1"/>
    <xf numFmtId="0" fontId="11" fillId="0" borderId="45" xfId="27" applyNumberFormat="1" applyFont="1" applyFill="1" applyBorder="1"/>
    <xf numFmtId="0" fontId="11" fillId="0" borderId="57" xfId="27" applyNumberFormat="1" applyFont="1" applyFill="1" applyBorder="1"/>
    <xf numFmtId="0" fontId="38" fillId="0" borderId="0" xfId="27" applyNumberFormat="1" applyFont="1" applyFill="1" applyBorder="1" applyProtection="1">
      <protection locked="0"/>
    </xf>
    <xf numFmtId="49" fontId="37" fillId="0" borderId="45" xfId="27" applyNumberFormat="1" applyFont="1" applyFill="1" applyBorder="1" applyAlignment="1">
      <alignment horizontal="center"/>
    </xf>
    <xf numFmtId="49" fontId="37" fillId="0" borderId="0" xfId="27" applyNumberFormat="1" applyFont="1" applyFill="1" applyBorder="1" applyAlignment="1">
      <alignment horizontal="center"/>
    </xf>
    <xf numFmtId="49" fontId="34" fillId="0" borderId="61" xfId="27" applyNumberFormat="1" applyFont="1" applyFill="1" applyBorder="1" applyAlignment="1">
      <alignment horizontal="center" vertical="center"/>
    </xf>
    <xf numFmtId="49" fontId="38" fillId="0" borderId="0" xfId="27" applyNumberFormat="1" applyFont="1" applyFill="1" applyAlignment="1">
      <alignment shrinkToFit="1"/>
    </xf>
    <xf numFmtId="49" fontId="57" fillId="0" borderId="0" xfId="27" applyNumberFormat="1" applyFont="1" applyFill="1" applyBorder="1" applyAlignment="1" applyProtection="1">
      <alignment horizontal="center"/>
      <protection locked="0"/>
    </xf>
    <xf numFmtId="49" fontId="57" fillId="0" borderId="45" xfId="27" applyNumberFormat="1" applyFont="1" applyFill="1" applyBorder="1" applyAlignment="1" applyProtection="1">
      <alignment horizontal="center"/>
      <protection locked="0"/>
    </xf>
    <xf numFmtId="49" fontId="38" fillId="0" borderId="0" xfId="27" applyNumberFormat="1" applyFont="1" applyFill="1" applyAlignment="1">
      <alignment horizontal="center"/>
    </xf>
    <xf numFmtId="49" fontId="38" fillId="0" borderId="0" xfId="27" applyNumberFormat="1" applyFont="1" applyFill="1"/>
    <xf numFmtId="49" fontId="59" fillId="0" borderId="0" xfId="27" applyNumberFormat="1" applyFont="1" applyFill="1" applyBorder="1" applyAlignment="1">
      <alignment horizontal="center"/>
    </xf>
    <xf numFmtId="49" fontId="57" fillId="0" borderId="0" xfId="27" applyNumberFormat="1" applyFont="1" applyFill="1" applyBorder="1" applyAlignment="1" applyProtection="1">
      <alignment horizontal="left" indent="1"/>
      <protection locked="0"/>
    </xf>
    <xf numFmtId="49" fontId="40" fillId="0" borderId="0" xfId="27" applyNumberFormat="1" applyFont="1" applyFill="1" applyBorder="1"/>
    <xf numFmtId="49" fontId="34" fillId="0" borderId="0" xfId="27" applyNumberFormat="1" applyFont="1" applyFill="1" applyBorder="1"/>
    <xf numFmtId="49" fontId="34" fillId="0" borderId="45" xfId="27" applyNumberFormat="1" applyFont="1" applyFill="1" applyBorder="1" applyAlignment="1" applyProtection="1">
      <alignment horizontal="center"/>
      <protection locked="0"/>
    </xf>
    <xf numFmtId="49" fontId="38" fillId="0" borderId="8" xfId="27" applyNumberFormat="1" applyFont="1" applyFill="1" applyBorder="1"/>
    <xf numFmtId="49" fontId="38" fillId="0" borderId="0" xfId="27" applyNumberFormat="1" applyFont="1" applyFill="1" applyBorder="1"/>
    <xf numFmtId="49" fontId="61" fillId="0" borderId="0" xfId="27" applyNumberFormat="1" applyFont="1" applyFill="1" applyBorder="1"/>
    <xf numFmtId="49" fontId="38" fillId="0" borderId="0" xfId="27" applyNumberFormat="1" applyFont="1" applyFill="1" applyBorder="1" applyAlignment="1"/>
    <xf numFmtId="49" fontId="59" fillId="0" borderId="23" xfId="27" applyNumberFormat="1" applyFont="1" applyFill="1" applyBorder="1" applyAlignment="1">
      <alignment horizontal="center"/>
    </xf>
    <xf numFmtId="49" fontId="32" fillId="0" borderId="0" xfId="27" applyNumberFormat="1" applyFont="1" applyFill="1" applyAlignment="1" applyProtection="1">
      <alignment horizontal="left"/>
      <protection locked="0"/>
    </xf>
    <xf numFmtId="49" fontId="38" fillId="0" borderId="0" xfId="27" applyNumberFormat="1" applyFont="1" applyFill="1" applyAlignment="1">
      <alignment horizontal="right"/>
    </xf>
    <xf numFmtId="49" fontId="32" fillId="0" borderId="0" xfId="27" applyNumberFormat="1" applyFont="1" applyFill="1" applyBorder="1" applyAlignment="1">
      <alignment horizontal="center"/>
    </xf>
    <xf numFmtId="49" fontId="32" fillId="0" borderId="36" xfId="27" applyNumberFormat="1" applyFont="1" applyFill="1" applyBorder="1" applyAlignment="1">
      <alignment horizontal="center"/>
    </xf>
    <xf numFmtId="49" fontId="57" fillId="0" borderId="8" xfId="27" applyNumberFormat="1" applyFont="1" applyFill="1" applyBorder="1" applyAlignment="1" applyProtection="1">
      <alignment horizontal="center"/>
      <protection locked="0"/>
    </xf>
    <xf numFmtId="49" fontId="60" fillId="0" borderId="8" xfId="27" applyNumberFormat="1" applyFont="1" applyFill="1" applyBorder="1" applyAlignment="1" applyProtection="1">
      <alignment horizontal="center"/>
    </xf>
    <xf numFmtId="49" fontId="32" fillId="0" borderId="23" xfId="27" applyNumberFormat="1" applyFont="1" applyFill="1" applyBorder="1" applyAlignment="1">
      <alignment horizontal="center"/>
    </xf>
    <xf numFmtId="49" fontId="34" fillId="0" borderId="3" xfId="27" applyNumberFormat="1" applyFont="1" applyFill="1" applyBorder="1" applyAlignment="1">
      <alignment horizontal="center" vertical="center" wrapText="1"/>
    </xf>
    <xf numFmtId="49" fontId="37" fillId="0" borderId="53" xfId="27" applyNumberFormat="1" applyFont="1" applyFill="1" applyBorder="1" applyAlignment="1">
      <alignment horizontal="center"/>
    </xf>
    <xf numFmtId="0" fontId="24" fillId="25" borderId="31" xfId="0" applyFont="1" applyFill="1" applyBorder="1" applyAlignment="1">
      <alignment vertical="top" wrapText="1"/>
    </xf>
    <xf numFmtId="0" fontId="0" fillId="0" borderId="0" xfId="0" applyFont="1" applyBorder="1" applyAlignment="1">
      <alignment horizontal="left" vertical="center" wrapText="1"/>
    </xf>
    <xf numFmtId="0" fontId="1" fillId="0" borderId="0" xfId="0" applyFont="1" applyAlignment="1">
      <alignment horizontal="center" vertical="center"/>
    </xf>
    <xf numFmtId="0" fontId="1" fillId="0" borderId="1" xfId="0" applyFont="1" applyFill="1" applyBorder="1" applyAlignment="1">
      <alignment horizontal="center"/>
    </xf>
    <xf numFmtId="0" fontId="1" fillId="0" borderId="28" xfId="0" applyFont="1" applyFill="1" applyBorder="1" applyAlignment="1">
      <alignment horizontal="center"/>
    </xf>
    <xf numFmtId="0" fontId="1" fillId="0" borderId="2" xfId="0" applyFont="1" applyFill="1" applyBorder="1" applyAlignment="1">
      <alignment horizontal="center"/>
    </xf>
    <xf numFmtId="0" fontId="1" fillId="0" borderId="5" xfId="0" applyFont="1" applyBorder="1" applyAlignment="1">
      <alignment horizontal="center"/>
    </xf>
    <xf numFmtId="0" fontId="1" fillId="0" borderId="23" xfId="0" applyFont="1" applyBorder="1" applyAlignment="1">
      <alignment horizontal="center"/>
    </xf>
    <xf numFmtId="0" fontId="1" fillId="0" borderId="6" xfId="0" applyFont="1" applyBorder="1" applyAlignment="1">
      <alignment horizontal="center"/>
    </xf>
    <xf numFmtId="0" fontId="1" fillId="0" borderId="37" xfId="0" applyFont="1" applyBorder="1" applyAlignment="1">
      <alignment horizontal="center" wrapText="1"/>
    </xf>
    <xf numFmtId="0" fontId="1" fillId="0" borderId="38" xfId="0" applyFont="1" applyBorder="1" applyAlignment="1">
      <alignment horizontal="center" wrapText="1"/>
    </xf>
    <xf numFmtId="0" fontId="1" fillId="0" borderId="78" xfId="0" applyFont="1" applyBorder="1" applyAlignment="1">
      <alignment horizontal="center" wrapText="1"/>
    </xf>
    <xf numFmtId="0" fontId="1" fillId="0" borderId="41" xfId="0" applyFont="1" applyBorder="1" applyAlignment="1">
      <alignment horizontal="center" wrapText="1"/>
    </xf>
    <xf numFmtId="0" fontId="0" fillId="0" borderId="38" xfId="0" applyBorder="1" applyAlignment="1">
      <alignment horizontal="center" vertical="center"/>
    </xf>
    <xf numFmtId="0" fontId="0" fillId="0" borderId="39" xfId="0" applyBorder="1" applyAlignment="1">
      <alignment horizontal="center" vertical="center"/>
    </xf>
    <xf numFmtId="0" fontId="0" fillId="0" borderId="44" xfId="0" applyBorder="1" applyAlignment="1">
      <alignment horizontal="center" vertical="center"/>
    </xf>
    <xf numFmtId="0" fontId="1" fillId="0" borderId="71" xfId="0" applyFont="1" applyBorder="1" applyAlignment="1">
      <alignment horizontal="center"/>
    </xf>
    <xf numFmtId="0" fontId="1" fillId="0" borderId="83" xfId="0" applyFont="1" applyBorder="1" applyAlignment="1">
      <alignment horizontal="center"/>
    </xf>
    <xf numFmtId="0" fontId="1" fillId="0" borderId="3" xfId="0" applyFont="1" applyBorder="1" applyAlignment="1">
      <alignment horizontal="center" vertical="center" wrapText="1"/>
    </xf>
    <xf numFmtId="0" fontId="1" fillId="0" borderId="3" xfId="0" applyFont="1" applyBorder="1" applyAlignment="1">
      <alignment horizontal="center" vertical="center"/>
    </xf>
    <xf numFmtId="0" fontId="1" fillId="0" borderId="5" xfId="0" applyFont="1" applyBorder="1" applyAlignment="1">
      <alignment horizontal="center" vertical="center" wrapText="1"/>
    </xf>
    <xf numFmtId="0" fontId="1" fillId="0" borderId="23"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30" fillId="0" borderId="5" xfId="0" applyFont="1" applyBorder="1" applyAlignment="1">
      <alignment horizontal="center" vertical="center"/>
    </xf>
    <xf numFmtId="0" fontId="30" fillId="0" borderId="23" xfId="0" applyFont="1" applyBorder="1" applyAlignment="1">
      <alignment horizontal="center" vertical="center"/>
    </xf>
    <xf numFmtId="0" fontId="30" fillId="0" borderId="6" xfId="0" applyFont="1" applyBorder="1" applyAlignment="1">
      <alignment horizontal="center" vertical="center"/>
    </xf>
    <xf numFmtId="0" fontId="30" fillId="0" borderId="7" xfId="0" applyFont="1" applyBorder="1" applyAlignment="1">
      <alignment horizontal="center" vertical="center"/>
    </xf>
    <xf numFmtId="0" fontId="30" fillId="0" borderId="8" xfId="0" applyFont="1" applyBorder="1" applyAlignment="1">
      <alignment horizontal="center" vertical="center"/>
    </xf>
    <xf numFmtId="0" fontId="30" fillId="0" borderId="9" xfId="0" applyFont="1" applyBorder="1" applyAlignment="1">
      <alignment horizontal="center" vertical="center"/>
    </xf>
    <xf numFmtId="0" fontId="0" fillId="0" borderId="16" xfId="0" applyBorder="1" applyAlignment="1">
      <alignment horizontal="left"/>
    </xf>
    <xf numFmtId="0" fontId="0" fillId="0" borderId="36" xfId="0" applyBorder="1" applyAlignment="1">
      <alignment horizontal="left"/>
    </xf>
    <xf numFmtId="0" fontId="0" fillId="0" borderId="17" xfId="0" applyBorder="1" applyAlignment="1">
      <alignment horizontal="left"/>
    </xf>
    <xf numFmtId="0" fontId="1" fillId="0" borderId="37" xfId="0" applyFont="1" applyBorder="1" applyAlignment="1">
      <alignment horizontal="center"/>
    </xf>
    <xf numFmtId="0" fontId="1" fillId="0" borderId="38" xfId="0" applyFont="1" applyBorder="1" applyAlignment="1">
      <alignment horizontal="center"/>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5" fillId="0" borderId="5" xfId="0" applyFont="1" applyFill="1" applyBorder="1" applyAlignment="1">
      <alignment horizontal="center"/>
    </xf>
    <xf numFmtId="0" fontId="5" fillId="0" borderId="6" xfId="0" applyFont="1" applyFill="1" applyBorder="1" applyAlignment="1">
      <alignment horizontal="center"/>
    </xf>
    <xf numFmtId="0" fontId="0" fillId="0" borderId="38" xfId="0" applyBorder="1" applyAlignment="1">
      <alignment horizontal="center" vertical="center" wrapText="1"/>
    </xf>
    <xf numFmtId="0" fontId="0" fillId="0" borderId="39" xfId="0" applyBorder="1" applyAlignment="1">
      <alignment horizontal="center" vertical="center" wrapText="1"/>
    </xf>
    <xf numFmtId="0" fontId="0" fillId="0" borderId="44" xfId="0" applyBorder="1" applyAlignment="1">
      <alignment horizontal="center" vertical="center" wrapText="1"/>
    </xf>
    <xf numFmtId="0" fontId="0" fillId="0" borderId="41" xfId="0" applyBorder="1" applyAlignment="1">
      <alignment horizontal="center" vertical="center" wrapText="1"/>
    </xf>
    <xf numFmtId="0" fontId="1" fillId="0" borderId="37" xfId="0" applyFont="1" applyBorder="1" applyAlignment="1">
      <alignment horizontal="center" vertical="center" wrapText="1"/>
    </xf>
    <xf numFmtId="0" fontId="1" fillId="0" borderId="38" xfId="0" applyFont="1" applyBorder="1" applyAlignment="1">
      <alignment horizontal="center" vertical="center" wrapText="1"/>
    </xf>
    <xf numFmtId="0" fontId="1" fillId="0" borderId="78" xfId="0" applyFont="1" applyBorder="1" applyAlignment="1">
      <alignment horizontal="center" vertical="center" wrapText="1"/>
    </xf>
    <xf numFmtId="0" fontId="1" fillId="0" borderId="41" xfId="0" applyFont="1" applyBorder="1" applyAlignment="1">
      <alignment horizontal="center" vertical="center" wrapText="1"/>
    </xf>
    <xf numFmtId="0" fontId="0" fillId="34" borderId="37" xfId="0" applyFill="1" applyBorder="1" applyAlignment="1">
      <alignment horizontal="center" vertical="center"/>
    </xf>
    <xf numFmtId="0" fontId="0" fillId="34" borderId="40" xfId="0" applyFill="1" applyBorder="1" applyAlignment="1">
      <alignment horizontal="center" vertical="center"/>
    </xf>
    <xf numFmtId="0" fontId="0" fillId="34" borderId="78" xfId="0" applyFill="1" applyBorder="1" applyAlignment="1">
      <alignment horizontal="center" vertical="center"/>
    </xf>
    <xf numFmtId="0" fontId="0" fillId="34" borderId="43" xfId="0" applyFill="1" applyBorder="1" applyAlignment="1">
      <alignment horizontal="center" vertical="center"/>
    </xf>
    <xf numFmtId="0" fontId="0" fillId="22" borderId="3" xfId="0" applyFill="1" applyBorder="1" applyAlignment="1">
      <alignment horizontal="center" vertical="center" wrapText="1"/>
    </xf>
    <xf numFmtId="0" fontId="0" fillId="22" borderId="77" xfId="0" applyFill="1" applyBorder="1" applyAlignment="1">
      <alignment horizontal="center" vertical="center" wrapText="1"/>
    </xf>
    <xf numFmtId="0" fontId="0" fillId="22" borderId="70" xfId="0" applyFill="1" applyBorder="1" applyAlignment="1">
      <alignment horizontal="center" vertical="center" wrapText="1"/>
    </xf>
    <xf numFmtId="0" fontId="0" fillId="32" borderId="3" xfId="0" applyFill="1" applyBorder="1" applyAlignment="1">
      <alignment horizontal="center" vertical="center" wrapText="1"/>
    </xf>
    <xf numFmtId="0" fontId="0" fillId="32" borderId="77" xfId="0" applyFill="1" applyBorder="1" applyAlignment="1">
      <alignment horizontal="center" vertical="center" wrapText="1"/>
    </xf>
    <xf numFmtId="0" fontId="0" fillId="32" borderId="77" xfId="0" applyFill="1" applyBorder="1" applyAlignment="1">
      <alignment horizontal="center" vertical="center"/>
    </xf>
    <xf numFmtId="0" fontId="0" fillId="32" borderId="4" xfId="0" applyFill="1" applyBorder="1" applyAlignment="1">
      <alignment horizontal="center" vertical="center"/>
    </xf>
    <xf numFmtId="0" fontId="0" fillId="32" borderId="66" xfId="0" applyFill="1" applyBorder="1" applyAlignment="1">
      <alignment horizontal="center" vertical="center"/>
    </xf>
    <xf numFmtId="0" fontId="0" fillId="9" borderId="37" xfId="0" applyFill="1" applyBorder="1" applyAlignment="1">
      <alignment horizontal="center" vertical="center"/>
    </xf>
    <xf numFmtId="0" fontId="0" fillId="9" borderId="40" xfId="0" applyFill="1" applyBorder="1" applyAlignment="1">
      <alignment horizontal="center" vertical="center"/>
    </xf>
    <xf numFmtId="0" fontId="0" fillId="9" borderId="43" xfId="0" applyFill="1" applyBorder="1" applyAlignment="1">
      <alignment horizontal="center" vertical="center"/>
    </xf>
    <xf numFmtId="0" fontId="0" fillId="33" borderId="69" xfId="0" applyFill="1" applyBorder="1" applyAlignment="1">
      <alignment horizontal="center" vertical="center" wrapText="1"/>
    </xf>
    <xf numFmtId="0" fontId="0" fillId="33" borderId="3" xfId="0" applyFill="1" applyBorder="1" applyAlignment="1">
      <alignment horizontal="center" vertical="center" wrapText="1"/>
    </xf>
    <xf numFmtId="0" fontId="0" fillId="33" borderId="69" xfId="0" applyFill="1" applyBorder="1" applyAlignment="1">
      <alignment horizontal="center" vertical="center"/>
    </xf>
    <xf numFmtId="0" fontId="0" fillId="33" borderId="3" xfId="0" applyFill="1" applyBorder="1" applyAlignment="1">
      <alignment horizontal="center" vertical="center"/>
    </xf>
    <xf numFmtId="0" fontId="0" fillId="23" borderId="3" xfId="0" applyFill="1" applyBorder="1" applyAlignment="1">
      <alignment horizontal="center" vertical="center" wrapText="1"/>
    </xf>
    <xf numFmtId="0" fontId="0" fillId="23" borderId="70" xfId="0" applyFill="1" applyBorder="1" applyAlignment="1">
      <alignment horizontal="center" vertical="center" wrapText="1"/>
    </xf>
    <xf numFmtId="0" fontId="0" fillId="23" borderId="3" xfId="0" applyFill="1" applyBorder="1" applyAlignment="1">
      <alignment horizontal="center" vertical="center"/>
    </xf>
    <xf numFmtId="0" fontId="0" fillId="23" borderId="70" xfId="0" applyFill="1" applyBorder="1" applyAlignment="1">
      <alignment horizontal="center" vertical="center"/>
    </xf>
    <xf numFmtId="0" fontId="0" fillId="28" borderId="75" xfId="0" applyFill="1" applyBorder="1" applyAlignment="1">
      <alignment horizontal="center" vertical="center"/>
    </xf>
    <xf numFmtId="0" fontId="0" fillId="28" borderId="40" xfId="0" applyFill="1" applyBorder="1" applyAlignment="1">
      <alignment horizontal="center" vertical="center"/>
    </xf>
    <xf numFmtId="0" fontId="0" fillId="28" borderId="78" xfId="0" applyFill="1" applyBorder="1" applyAlignment="1">
      <alignment horizontal="center" vertical="center"/>
    </xf>
    <xf numFmtId="0" fontId="0" fillId="31" borderId="66" xfId="0" applyFill="1" applyBorder="1" applyAlignment="1">
      <alignment horizontal="center" vertical="center" wrapText="1"/>
    </xf>
    <xf numFmtId="0" fontId="0" fillId="31" borderId="3" xfId="0" applyFill="1" applyBorder="1" applyAlignment="1">
      <alignment horizontal="center" vertical="center" wrapText="1"/>
    </xf>
    <xf numFmtId="0" fontId="0" fillId="31" borderId="66" xfId="0" applyFill="1" applyBorder="1" applyAlignment="1">
      <alignment horizontal="center" vertical="center"/>
    </xf>
    <xf numFmtId="0" fontId="0" fillId="31" borderId="3" xfId="0" applyFill="1" applyBorder="1" applyAlignment="1">
      <alignment horizontal="center" vertical="center"/>
    </xf>
    <xf numFmtId="0" fontId="1" fillId="0" borderId="37" xfId="0" applyFont="1" applyFill="1" applyBorder="1" applyAlignment="1">
      <alignment horizontal="left"/>
    </xf>
    <xf numFmtId="0" fontId="1" fillId="0" borderId="69" xfId="0" applyFont="1" applyFill="1" applyBorder="1" applyAlignment="1">
      <alignment horizontal="left"/>
    </xf>
    <xf numFmtId="0" fontId="1" fillId="0" borderId="40" xfId="0" applyFont="1" applyFill="1" applyBorder="1" applyAlignment="1">
      <alignment horizontal="left"/>
    </xf>
    <xf numFmtId="0" fontId="1" fillId="0" borderId="80" xfId="0" applyFont="1" applyFill="1" applyBorder="1" applyAlignment="1">
      <alignment horizontal="left"/>
    </xf>
    <xf numFmtId="0" fontId="1" fillId="0" borderId="40" xfId="0" applyFont="1" applyBorder="1" applyAlignment="1">
      <alignment horizontal="left"/>
    </xf>
    <xf numFmtId="0" fontId="1" fillId="0" borderId="80" xfId="0" applyFont="1" applyBorder="1" applyAlignment="1">
      <alignment horizontal="left"/>
    </xf>
    <xf numFmtId="0" fontId="1" fillId="0" borderId="43" xfId="0" applyFont="1" applyFill="1" applyBorder="1" applyAlignment="1">
      <alignment horizontal="left"/>
    </xf>
    <xf numFmtId="0" fontId="1" fillId="0" borderId="70" xfId="0" applyFont="1" applyFill="1" applyBorder="1" applyAlignment="1">
      <alignment horizontal="left"/>
    </xf>
    <xf numFmtId="0" fontId="1" fillId="0" borderId="88" xfId="0" applyFont="1" applyBorder="1" applyAlignment="1">
      <alignment horizontal="center"/>
    </xf>
    <xf numFmtId="0" fontId="1" fillId="0" borderId="90" xfId="0" applyFont="1" applyBorder="1" applyAlignment="1">
      <alignment horizontal="center"/>
    </xf>
    <xf numFmtId="0" fontId="1" fillId="0" borderId="81" xfId="0" applyFont="1" applyBorder="1" applyAlignment="1">
      <alignment horizontal="center"/>
    </xf>
    <xf numFmtId="0" fontId="1" fillId="0" borderId="82" xfId="0" applyFont="1" applyBorder="1" applyAlignment="1">
      <alignment horizontal="center"/>
    </xf>
    <xf numFmtId="0" fontId="0" fillId="22" borderId="77" xfId="0" applyFill="1" applyBorder="1" applyAlignment="1">
      <alignment horizontal="center" vertical="center"/>
    </xf>
    <xf numFmtId="0" fontId="0" fillId="22" borderId="4" xfId="0" applyFill="1" applyBorder="1" applyAlignment="1">
      <alignment horizontal="center" vertical="center"/>
    </xf>
    <xf numFmtId="0" fontId="0" fillId="22" borderId="66" xfId="0" applyFill="1" applyBorder="1" applyAlignment="1">
      <alignment horizontal="center" vertical="center"/>
    </xf>
    <xf numFmtId="0" fontId="0" fillId="0" borderId="0" xfId="0" applyBorder="1" applyAlignment="1" applyProtection="1">
      <alignment horizontal="center" vertical="center"/>
    </xf>
    <xf numFmtId="0" fontId="0" fillId="0" borderId="25" xfId="0" applyBorder="1" applyAlignment="1" applyProtection="1">
      <alignment horizontal="center" vertical="center"/>
    </xf>
    <xf numFmtId="0" fontId="1" fillId="32" borderId="85" xfId="0" applyFont="1" applyFill="1" applyBorder="1" applyAlignment="1">
      <alignment horizontal="center" vertical="center"/>
    </xf>
    <xf numFmtId="0" fontId="0" fillId="32" borderId="53" xfId="0" applyFill="1" applyBorder="1" applyAlignment="1">
      <alignment horizontal="center" vertical="center"/>
    </xf>
    <xf numFmtId="0" fontId="1" fillId="32" borderId="53" xfId="0" applyFont="1" applyFill="1" applyBorder="1" applyAlignment="1">
      <alignment horizontal="center" vertical="center"/>
    </xf>
    <xf numFmtId="0" fontId="0" fillId="0" borderId="0" xfId="0" applyBorder="1" applyAlignment="1" applyProtection="1">
      <alignment horizontal="center"/>
    </xf>
    <xf numFmtId="0" fontId="0" fillId="0" borderId="25" xfId="0" applyBorder="1" applyAlignment="1" applyProtection="1">
      <alignment horizontal="center"/>
    </xf>
    <xf numFmtId="0" fontId="4" fillId="37" borderId="16" xfId="0" applyFont="1" applyFill="1" applyBorder="1" applyAlignment="1">
      <alignment horizontal="center" vertical="center" wrapText="1"/>
    </xf>
    <xf numFmtId="0" fontId="4" fillId="37" borderId="36" xfId="0" applyFont="1" applyFill="1" applyBorder="1" applyAlignment="1">
      <alignment horizontal="center" vertical="center" wrapText="1"/>
    </xf>
    <xf numFmtId="0" fontId="4" fillId="37" borderId="17" xfId="0" applyFont="1" applyFill="1" applyBorder="1" applyAlignment="1">
      <alignment horizontal="center" vertical="center" wrapText="1"/>
    </xf>
    <xf numFmtId="0" fontId="0" fillId="23" borderId="80" xfId="0" applyFill="1" applyBorder="1" applyAlignment="1" applyProtection="1">
      <alignment horizontal="center" vertical="center"/>
      <protection locked="0"/>
    </xf>
    <xf numFmtId="0" fontId="0" fillId="23" borderId="39" xfId="0" applyFill="1" applyBorder="1" applyAlignment="1" applyProtection="1">
      <alignment horizontal="center" vertical="center"/>
      <protection locked="0"/>
    </xf>
    <xf numFmtId="0" fontId="0" fillId="0" borderId="81" xfId="0" applyBorder="1" applyAlignment="1">
      <alignment horizontal="center"/>
    </xf>
    <xf numFmtId="0" fontId="0" fillId="0" borderId="82" xfId="0" applyBorder="1" applyAlignment="1">
      <alignment horizontal="center"/>
    </xf>
    <xf numFmtId="0" fontId="0" fillId="0" borderId="53" xfId="0" applyBorder="1" applyAlignment="1">
      <alignment horizontal="center"/>
    </xf>
    <xf numFmtId="0" fontId="0" fillId="0" borderId="84" xfId="0" applyBorder="1" applyAlignment="1">
      <alignment horizontal="center"/>
    </xf>
    <xf numFmtId="0" fontId="0" fillId="37" borderId="16" xfId="0" applyFill="1" applyBorder="1" applyAlignment="1">
      <alignment horizontal="center" vertical="center" wrapText="1"/>
    </xf>
    <xf numFmtId="0" fontId="0" fillId="37" borderId="36" xfId="0" applyFill="1" applyBorder="1" applyAlignment="1">
      <alignment horizontal="center" vertical="center" wrapText="1"/>
    </xf>
    <xf numFmtId="0" fontId="0" fillId="37" borderId="17" xfId="0" applyFill="1" applyBorder="1" applyAlignment="1">
      <alignment horizontal="center" vertical="center" wrapText="1"/>
    </xf>
    <xf numFmtId="0" fontId="46" fillId="36" borderId="5" xfId="0" applyFont="1" applyFill="1" applyBorder="1" applyAlignment="1">
      <alignment horizontal="center"/>
    </xf>
    <xf numFmtId="0" fontId="46" fillId="36" borderId="23" xfId="0" applyFont="1" applyFill="1" applyBorder="1" applyAlignment="1">
      <alignment horizontal="center"/>
    </xf>
    <xf numFmtId="0" fontId="46" fillId="36" borderId="6" xfId="0" applyFont="1" applyFill="1" applyBorder="1" applyAlignment="1">
      <alignment horizontal="center"/>
    </xf>
    <xf numFmtId="0" fontId="0" fillId="0" borderId="30" xfId="0" applyBorder="1" applyAlignment="1" applyProtection="1">
      <alignment horizontal="center" vertical="center"/>
    </xf>
    <xf numFmtId="0" fontId="0" fillId="0" borderId="86" xfId="0" applyBorder="1" applyAlignment="1" applyProtection="1">
      <alignment horizontal="center" vertical="center"/>
    </xf>
    <xf numFmtId="0" fontId="5" fillId="0" borderId="53" xfId="0" applyFont="1" applyBorder="1" applyAlignment="1">
      <alignment horizontal="center"/>
    </xf>
    <xf numFmtId="0" fontId="0" fillId="0" borderId="0" xfId="0" applyBorder="1" applyAlignment="1">
      <alignment horizontal="center"/>
    </xf>
  </cellXfs>
  <cellStyles count="39">
    <cellStyle name="EXCIBP" xfId="24"/>
    <cellStyle name="EXCICR" xfId="22"/>
    <cellStyle name="FBoxBL" xfId="1"/>
    <cellStyle name="FBoxBR" xfId="14"/>
    <cellStyle name="FBoxTL" xfId="12"/>
    <cellStyle name="FBoxTR" xfId="13"/>
    <cellStyle name="FI" xfId="2"/>
    <cellStyle name="Hyperlink" xfId="38" builtinId="8"/>
    <cellStyle name="NCIDPC" xfId="9"/>
    <cellStyle name="NCIDSC" xfId="4"/>
    <cellStyle name="NCOH" xfId="8"/>
    <cellStyle name="Normal" xfId="0" builtinId="0"/>
    <cellStyle name="Normal 2" xfId="27"/>
    <cellStyle name="OCA" xfId="18"/>
    <cellStyle name="OCL" xfId="28"/>
    <cellStyle name="OCL 2" xfId="37"/>
    <cellStyle name="OCPB" xfId="25"/>
    <cellStyle name="OCPL" xfId="15"/>
    <cellStyle name="OCPR" xfId="16"/>
    <cellStyle name="OCSL" xfId="3"/>
    <cellStyle name="OCSR" xfId="5"/>
    <cellStyle name="PCCIBP" xfId="23"/>
    <cellStyle name="PCCICR" xfId="19"/>
    <cellStyle name="PCOHL" xfId="10"/>
    <cellStyle name="PCOHR" xfId="11"/>
    <cellStyle name="PCSJBP3" xfId="29"/>
    <cellStyle name="PCSJBP3 2" xfId="36"/>
    <cellStyle name="PCSJL" xfId="30"/>
    <cellStyle name="PCSJL 2" xfId="33"/>
    <cellStyle name="PCSJR" xfId="31"/>
    <cellStyle name="PCSJR 2" xfId="35"/>
    <cellStyle name="PCSJTP" xfId="32"/>
    <cellStyle name="PCSJTP 2" xfId="34"/>
    <cellStyle name="PIW" xfId="17"/>
    <cellStyle name="PLL" xfId="20"/>
    <cellStyle name="PLR" xfId="21"/>
    <cellStyle name="Sand" xfId="26"/>
    <cellStyle name="SCCIBP" xfId="6"/>
    <cellStyle name="Standard" xfId="7"/>
  </cellStyles>
  <dxfs count="6">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7D7D"/>
      <color rgb="FFF3AE9B"/>
      <color rgb="FF0000FF"/>
      <color rgb="FFF79646"/>
      <color rgb="FFD2EAF1"/>
      <color rgb="FFF57B1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3" Type="http://schemas.openxmlformats.org/officeDocument/2006/relationships/image" Target="../media/image19.png"/><Relationship Id="rId2" Type="http://schemas.openxmlformats.org/officeDocument/2006/relationships/image" Target="../media/image18.png"/><Relationship Id="rId1" Type="http://schemas.openxmlformats.org/officeDocument/2006/relationships/image" Target="../media/image17.emf"/></Relationships>
</file>

<file path=xl/drawings/_rels/drawing3.xml.rels><?xml version="1.0" encoding="UTF-8" standalone="yes"?>
<Relationships xmlns="http://schemas.openxmlformats.org/package/2006/relationships"><Relationship Id="rId1" Type="http://schemas.openxmlformats.org/officeDocument/2006/relationships/image" Target="../media/image20.jpeg"/></Relationships>
</file>

<file path=xl/drawings/_rels/vmlDrawing2.vml.rels><?xml version="1.0" encoding="UTF-8" standalone="yes"?>
<Relationships xmlns="http://schemas.openxmlformats.org/package/2006/relationships"><Relationship Id="rId8" Type="http://schemas.openxmlformats.org/officeDocument/2006/relationships/image" Target="../media/image8.emf"/><Relationship Id="rId13" Type="http://schemas.openxmlformats.org/officeDocument/2006/relationships/image" Target="../media/image13.emf"/><Relationship Id="rId3" Type="http://schemas.openxmlformats.org/officeDocument/2006/relationships/image" Target="../media/image3.emf"/><Relationship Id="rId7" Type="http://schemas.openxmlformats.org/officeDocument/2006/relationships/image" Target="../media/image7.emf"/><Relationship Id="rId12" Type="http://schemas.openxmlformats.org/officeDocument/2006/relationships/image" Target="../media/image12.emf"/><Relationship Id="rId2" Type="http://schemas.openxmlformats.org/officeDocument/2006/relationships/image" Target="../media/image2.emf"/><Relationship Id="rId16" Type="http://schemas.openxmlformats.org/officeDocument/2006/relationships/image" Target="../media/image16.emf"/><Relationship Id="rId1" Type="http://schemas.openxmlformats.org/officeDocument/2006/relationships/image" Target="../media/image1.emf"/><Relationship Id="rId6" Type="http://schemas.openxmlformats.org/officeDocument/2006/relationships/image" Target="../media/image6.emf"/><Relationship Id="rId11" Type="http://schemas.openxmlformats.org/officeDocument/2006/relationships/image" Target="../media/image11.emf"/><Relationship Id="rId5" Type="http://schemas.openxmlformats.org/officeDocument/2006/relationships/image" Target="../media/image5.emf"/><Relationship Id="rId15" Type="http://schemas.openxmlformats.org/officeDocument/2006/relationships/image" Target="../media/image15.emf"/><Relationship Id="rId10" Type="http://schemas.openxmlformats.org/officeDocument/2006/relationships/image" Target="../media/image10.emf"/><Relationship Id="rId4" Type="http://schemas.openxmlformats.org/officeDocument/2006/relationships/image" Target="../media/image4.emf"/><Relationship Id="rId9" Type="http://schemas.openxmlformats.org/officeDocument/2006/relationships/image" Target="../media/image9.emf"/><Relationship Id="rId14" Type="http://schemas.openxmlformats.org/officeDocument/2006/relationships/image" Target="../media/image14.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83820</xdr:colOff>
          <xdr:row>2</xdr:row>
          <xdr:rowOff>76200</xdr:rowOff>
        </xdr:from>
        <xdr:to>
          <xdr:col>4</xdr:col>
          <xdr:colOff>556260</xdr:colOff>
          <xdr:row>4</xdr:row>
          <xdr:rowOff>114300</xdr:rowOff>
        </xdr:to>
        <xdr:sp macro="" textlink="">
          <xdr:nvSpPr>
            <xdr:cNvPr id="9217" name="Button 1" hidden="1">
              <a:extLst>
                <a:ext uri="{63B3BB69-23CF-44E3-9099-C40C66FF867C}">
                  <a14:compatExt spid="_x0000_s9217"/>
                </a:ext>
                <a:ext uri="{FF2B5EF4-FFF2-40B4-BE49-F238E27FC236}">
                  <a16:creationId xmlns:a16="http://schemas.microsoft.com/office/drawing/2014/main" id="{00000000-0008-0000-0100-000001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Check Step #s Auto Size Rows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3</xdr:col>
      <xdr:colOff>0</xdr:colOff>
      <xdr:row>22</xdr:row>
      <xdr:rowOff>19050</xdr:rowOff>
    </xdr:from>
    <xdr:ext cx="142875" cy="123825"/>
    <xdr:sp macro="" textlink="">
      <xdr:nvSpPr>
        <xdr:cNvPr id="2" name="Rectangle 18">
          <a:extLst>
            <a:ext uri="{FF2B5EF4-FFF2-40B4-BE49-F238E27FC236}">
              <a16:creationId xmlns:a16="http://schemas.microsoft.com/office/drawing/2014/main" id="{00000000-0008-0000-0200-000002000000}"/>
            </a:ext>
          </a:extLst>
        </xdr:cNvPr>
        <xdr:cNvSpPr>
          <a:spLocks noChangeArrowheads="1"/>
        </xdr:cNvSpPr>
      </xdr:nvSpPr>
      <xdr:spPr bwMode="auto">
        <a:xfrm>
          <a:off x="1485900" y="3162300"/>
          <a:ext cx="142875" cy="1238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Lst>
      </xdr:spPr>
    </xdr:sp>
    <xdr:clientData/>
  </xdr:oneCellAnchor>
  <xdr:twoCellAnchor>
    <xdr:from>
      <xdr:col>12</xdr:col>
      <xdr:colOff>57150</xdr:colOff>
      <xdr:row>66</xdr:row>
      <xdr:rowOff>19050</xdr:rowOff>
    </xdr:from>
    <xdr:to>
      <xdr:col>12</xdr:col>
      <xdr:colOff>209550</xdr:colOff>
      <xdr:row>66</xdr:row>
      <xdr:rowOff>152400</xdr:rowOff>
    </xdr:to>
    <xdr:sp macro="" textlink="">
      <xdr:nvSpPr>
        <xdr:cNvPr id="3" name="Rectangle 54">
          <a:extLst>
            <a:ext uri="{FF2B5EF4-FFF2-40B4-BE49-F238E27FC236}">
              <a16:creationId xmlns:a16="http://schemas.microsoft.com/office/drawing/2014/main" id="{00000000-0008-0000-0200-000003000000}"/>
            </a:ext>
          </a:extLst>
        </xdr:cNvPr>
        <xdr:cNvSpPr>
          <a:spLocks noChangeArrowheads="1"/>
        </xdr:cNvSpPr>
      </xdr:nvSpPr>
      <xdr:spPr bwMode="auto">
        <a:xfrm>
          <a:off x="6000750" y="9305925"/>
          <a:ext cx="152400" cy="1238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Lst>
      </xdr:spPr>
    </xdr:sp>
    <xdr:clientData/>
  </xdr:twoCellAnchor>
  <xdr:twoCellAnchor>
    <xdr:from>
      <xdr:col>1</xdr:col>
      <xdr:colOff>142875</xdr:colOff>
      <xdr:row>18</xdr:row>
      <xdr:rowOff>28575</xdr:rowOff>
    </xdr:from>
    <xdr:to>
      <xdr:col>2</xdr:col>
      <xdr:colOff>19050</xdr:colOff>
      <xdr:row>19</xdr:row>
      <xdr:rowOff>171450</xdr:rowOff>
    </xdr:to>
    <xdr:sp macro="" textlink="">
      <xdr:nvSpPr>
        <xdr:cNvPr id="4" name="Rectangle 56">
          <a:extLst>
            <a:ext uri="{FF2B5EF4-FFF2-40B4-BE49-F238E27FC236}">
              <a16:creationId xmlns:a16="http://schemas.microsoft.com/office/drawing/2014/main" id="{00000000-0008-0000-0200-000004000000}"/>
            </a:ext>
          </a:extLst>
        </xdr:cNvPr>
        <xdr:cNvSpPr>
          <a:spLocks noChangeArrowheads="1"/>
        </xdr:cNvSpPr>
      </xdr:nvSpPr>
      <xdr:spPr bwMode="auto">
        <a:xfrm>
          <a:off x="638175" y="2600325"/>
          <a:ext cx="371475" cy="25717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Lst>
      </xdr:spPr>
    </xdr:sp>
    <xdr:clientData/>
  </xdr:twoCellAnchor>
  <xdr:twoCellAnchor>
    <xdr:from>
      <xdr:col>10</xdr:col>
      <xdr:colOff>219075</xdr:colOff>
      <xdr:row>18</xdr:row>
      <xdr:rowOff>28575</xdr:rowOff>
    </xdr:from>
    <xdr:to>
      <xdr:col>11</xdr:col>
      <xdr:colOff>28575</xdr:colOff>
      <xdr:row>19</xdr:row>
      <xdr:rowOff>171450</xdr:rowOff>
    </xdr:to>
    <xdr:sp macro="" textlink="">
      <xdr:nvSpPr>
        <xdr:cNvPr id="5" name="Rectangle 57">
          <a:extLst>
            <a:ext uri="{FF2B5EF4-FFF2-40B4-BE49-F238E27FC236}">
              <a16:creationId xmlns:a16="http://schemas.microsoft.com/office/drawing/2014/main" id="{00000000-0008-0000-0200-000005000000}"/>
            </a:ext>
          </a:extLst>
        </xdr:cNvPr>
        <xdr:cNvSpPr>
          <a:spLocks noChangeArrowheads="1"/>
        </xdr:cNvSpPr>
      </xdr:nvSpPr>
      <xdr:spPr bwMode="auto">
        <a:xfrm>
          <a:off x="5172075" y="2600325"/>
          <a:ext cx="304800" cy="25717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Lst>
      </xdr:spPr>
    </xdr:sp>
    <xdr:clientData/>
  </xdr:twoCellAnchor>
  <xdr:twoCellAnchor>
    <xdr:from>
      <xdr:col>2</xdr:col>
      <xdr:colOff>657225</xdr:colOff>
      <xdr:row>9</xdr:row>
      <xdr:rowOff>152400</xdr:rowOff>
    </xdr:from>
    <xdr:to>
      <xdr:col>5</xdr:col>
      <xdr:colOff>152400</xdr:colOff>
      <xdr:row>9</xdr:row>
      <xdr:rowOff>152400</xdr:rowOff>
    </xdr:to>
    <xdr:sp macro="" textlink="">
      <xdr:nvSpPr>
        <xdr:cNvPr id="6" name="Line 60">
          <a:extLst>
            <a:ext uri="{FF2B5EF4-FFF2-40B4-BE49-F238E27FC236}">
              <a16:creationId xmlns:a16="http://schemas.microsoft.com/office/drawing/2014/main" id="{00000000-0008-0000-0200-000006000000}"/>
            </a:ext>
          </a:extLst>
        </xdr:cNvPr>
        <xdr:cNvSpPr>
          <a:spLocks noChangeShapeType="1"/>
        </xdr:cNvSpPr>
      </xdr:nvSpPr>
      <xdr:spPr bwMode="auto">
        <a:xfrm>
          <a:off x="1485900" y="1428750"/>
          <a:ext cx="11430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285750</xdr:colOff>
      <xdr:row>10</xdr:row>
      <xdr:rowOff>152400</xdr:rowOff>
    </xdr:from>
    <xdr:to>
      <xdr:col>9</xdr:col>
      <xdr:colOff>276225</xdr:colOff>
      <xdr:row>10</xdr:row>
      <xdr:rowOff>152400</xdr:rowOff>
    </xdr:to>
    <xdr:sp macro="" textlink="">
      <xdr:nvSpPr>
        <xdr:cNvPr id="7" name="Line 61">
          <a:extLst>
            <a:ext uri="{FF2B5EF4-FFF2-40B4-BE49-F238E27FC236}">
              <a16:creationId xmlns:a16="http://schemas.microsoft.com/office/drawing/2014/main" id="{00000000-0008-0000-0200-000007000000}"/>
            </a:ext>
          </a:extLst>
        </xdr:cNvPr>
        <xdr:cNvSpPr>
          <a:spLocks noChangeShapeType="1"/>
        </xdr:cNvSpPr>
      </xdr:nvSpPr>
      <xdr:spPr bwMode="auto">
        <a:xfrm>
          <a:off x="1276350" y="1571625"/>
          <a:ext cx="34575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190500</xdr:colOff>
      <xdr:row>11</xdr:row>
      <xdr:rowOff>152400</xdr:rowOff>
    </xdr:from>
    <xdr:to>
      <xdr:col>9</xdr:col>
      <xdr:colOff>276225</xdr:colOff>
      <xdr:row>11</xdr:row>
      <xdr:rowOff>152400</xdr:rowOff>
    </xdr:to>
    <xdr:sp macro="" textlink="">
      <xdr:nvSpPr>
        <xdr:cNvPr id="8" name="Line 62">
          <a:extLst>
            <a:ext uri="{FF2B5EF4-FFF2-40B4-BE49-F238E27FC236}">
              <a16:creationId xmlns:a16="http://schemas.microsoft.com/office/drawing/2014/main" id="{00000000-0008-0000-0200-000008000000}"/>
            </a:ext>
          </a:extLst>
        </xdr:cNvPr>
        <xdr:cNvSpPr>
          <a:spLocks noChangeShapeType="1"/>
        </xdr:cNvSpPr>
      </xdr:nvSpPr>
      <xdr:spPr bwMode="auto">
        <a:xfrm>
          <a:off x="685800" y="1714500"/>
          <a:ext cx="4048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266700</xdr:colOff>
      <xdr:row>12</xdr:row>
      <xdr:rowOff>142875</xdr:rowOff>
    </xdr:from>
    <xdr:to>
      <xdr:col>4</xdr:col>
      <xdr:colOff>295275</xdr:colOff>
      <xdr:row>12</xdr:row>
      <xdr:rowOff>142875</xdr:rowOff>
    </xdr:to>
    <xdr:sp macro="" textlink="">
      <xdr:nvSpPr>
        <xdr:cNvPr id="9" name="Line 63">
          <a:extLst>
            <a:ext uri="{FF2B5EF4-FFF2-40B4-BE49-F238E27FC236}">
              <a16:creationId xmlns:a16="http://schemas.microsoft.com/office/drawing/2014/main" id="{00000000-0008-0000-0200-000009000000}"/>
            </a:ext>
          </a:extLst>
        </xdr:cNvPr>
        <xdr:cNvSpPr>
          <a:spLocks noChangeShapeType="1"/>
        </xdr:cNvSpPr>
      </xdr:nvSpPr>
      <xdr:spPr bwMode="auto">
        <a:xfrm>
          <a:off x="266700" y="1857375"/>
          <a:ext cx="20097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266700</xdr:colOff>
      <xdr:row>12</xdr:row>
      <xdr:rowOff>142875</xdr:rowOff>
    </xdr:from>
    <xdr:to>
      <xdr:col>7</xdr:col>
      <xdr:colOff>9525</xdr:colOff>
      <xdr:row>12</xdr:row>
      <xdr:rowOff>142875</xdr:rowOff>
    </xdr:to>
    <xdr:sp macro="" textlink="">
      <xdr:nvSpPr>
        <xdr:cNvPr id="10" name="Line 64">
          <a:extLst>
            <a:ext uri="{FF2B5EF4-FFF2-40B4-BE49-F238E27FC236}">
              <a16:creationId xmlns:a16="http://schemas.microsoft.com/office/drawing/2014/main" id="{00000000-0008-0000-0200-00000A000000}"/>
            </a:ext>
          </a:extLst>
        </xdr:cNvPr>
        <xdr:cNvSpPr>
          <a:spLocks noChangeShapeType="1"/>
        </xdr:cNvSpPr>
      </xdr:nvSpPr>
      <xdr:spPr bwMode="auto">
        <a:xfrm>
          <a:off x="2743200" y="1857375"/>
          <a:ext cx="733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209550</xdr:colOff>
      <xdr:row>12</xdr:row>
      <xdr:rowOff>142875</xdr:rowOff>
    </xdr:from>
    <xdr:to>
      <xdr:col>9</xdr:col>
      <xdr:colOff>266700</xdr:colOff>
      <xdr:row>12</xdr:row>
      <xdr:rowOff>142875</xdr:rowOff>
    </xdr:to>
    <xdr:sp macro="" textlink="">
      <xdr:nvSpPr>
        <xdr:cNvPr id="11" name="Line 65">
          <a:extLst>
            <a:ext uri="{FF2B5EF4-FFF2-40B4-BE49-F238E27FC236}">
              <a16:creationId xmlns:a16="http://schemas.microsoft.com/office/drawing/2014/main" id="{00000000-0008-0000-0200-00000B000000}"/>
            </a:ext>
          </a:extLst>
        </xdr:cNvPr>
        <xdr:cNvSpPr>
          <a:spLocks noChangeShapeType="1"/>
        </xdr:cNvSpPr>
      </xdr:nvSpPr>
      <xdr:spPr bwMode="auto">
        <a:xfrm>
          <a:off x="3676650" y="1857375"/>
          <a:ext cx="10477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257175</xdr:colOff>
      <xdr:row>12</xdr:row>
      <xdr:rowOff>142875</xdr:rowOff>
    </xdr:from>
    <xdr:to>
      <xdr:col>14</xdr:col>
      <xdr:colOff>219075</xdr:colOff>
      <xdr:row>12</xdr:row>
      <xdr:rowOff>142875</xdr:rowOff>
    </xdr:to>
    <xdr:sp macro="" textlink="">
      <xdr:nvSpPr>
        <xdr:cNvPr id="12" name="Line 66">
          <a:extLst>
            <a:ext uri="{FF2B5EF4-FFF2-40B4-BE49-F238E27FC236}">
              <a16:creationId xmlns:a16="http://schemas.microsoft.com/office/drawing/2014/main" id="{00000000-0008-0000-0200-00000C000000}"/>
            </a:ext>
          </a:extLst>
        </xdr:cNvPr>
        <xdr:cNvSpPr>
          <a:spLocks noChangeShapeType="1"/>
        </xdr:cNvSpPr>
      </xdr:nvSpPr>
      <xdr:spPr bwMode="auto">
        <a:xfrm>
          <a:off x="5210175" y="1857375"/>
          <a:ext cx="19431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257175</xdr:colOff>
      <xdr:row>11</xdr:row>
      <xdr:rowOff>142875</xdr:rowOff>
    </xdr:from>
    <xdr:to>
      <xdr:col>14</xdr:col>
      <xdr:colOff>219075</xdr:colOff>
      <xdr:row>11</xdr:row>
      <xdr:rowOff>142875</xdr:rowOff>
    </xdr:to>
    <xdr:sp macro="" textlink="">
      <xdr:nvSpPr>
        <xdr:cNvPr id="13" name="Line 67">
          <a:extLst>
            <a:ext uri="{FF2B5EF4-FFF2-40B4-BE49-F238E27FC236}">
              <a16:creationId xmlns:a16="http://schemas.microsoft.com/office/drawing/2014/main" id="{00000000-0008-0000-0200-00000D000000}"/>
            </a:ext>
          </a:extLst>
        </xdr:cNvPr>
        <xdr:cNvSpPr>
          <a:spLocks noChangeShapeType="1"/>
        </xdr:cNvSpPr>
      </xdr:nvSpPr>
      <xdr:spPr bwMode="auto">
        <a:xfrm>
          <a:off x="5210175" y="1714500"/>
          <a:ext cx="19431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76200</xdr:colOff>
      <xdr:row>10</xdr:row>
      <xdr:rowOff>152400</xdr:rowOff>
    </xdr:from>
    <xdr:to>
      <xdr:col>14</xdr:col>
      <xdr:colOff>219075</xdr:colOff>
      <xdr:row>10</xdr:row>
      <xdr:rowOff>152400</xdr:rowOff>
    </xdr:to>
    <xdr:sp macro="" textlink="">
      <xdr:nvSpPr>
        <xdr:cNvPr id="14" name="Line 68">
          <a:extLst>
            <a:ext uri="{FF2B5EF4-FFF2-40B4-BE49-F238E27FC236}">
              <a16:creationId xmlns:a16="http://schemas.microsoft.com/office/drawing/2014/main" id="{00000000-0008-0000-0200-00000E000000}"/>
            </a:ext>
          </a:extLst>
        </xdr:cNvPr>
        <xdr:cNvSpPr>
          <a:spLocks noChangeShapeType="1"/>
        </xdr:cNvSpPr>
      </xdr:nvSpPr>
      <xdr:spPr bwMode="auto">
        <a:xfrm>
          <a:off x="5029200" y="1571625"/>
          <a:ext cx="21240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104775</xdr:colOff>
      <xdr:row>15</xdr:row>
      <xdr:rowOff>76200</xdr:rowOff>
    </xdr:from>
    <xdr:to>
      <xdr:col>13</xdr:col>
      <xdr:colOff>238125</xdr:colOff>
      <xdr:row>15</xdr:row>
      <xdr:rowOff>76200</xdr:rowOff>
    </xdr:to>
    <xdr:sp macro="" textlink="">
      <xdr:nvSpPr>
        <xdr:cNvPr id="15" name="Line 73">
          <a:extLst>
            <a:ext uri="{FF2B5EF4-FFF2-40B4-BE49-F238E27FC236}">
              <a16:creationId xmlns:a16="http://schemas.microsoft.com/office/drawing/2014/main" id="{00000000-0008-0000-0200-00000F000000}"/>
            </a:ext>
          </a:extLst>
        </xdr:cNvPr>
        <xdr:cNvSpPr>
          <a:spLocks noChangeShapeType="1"/>
        </xdr:cNvSpPr>
      </xdr:nvSpPr>
      <xdr:spPr bwMode="auto">
        <a:xfrm>
          <a:off x="5057775" y="2219325"/>
          <a:ext cx="16192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15</xdr:row>
      <xdr:rowOff>66675</xdr:rowOff>
    </xdr:from>
    <xdr:to>
      <xdr:col>7</xdr:col>
      <xdr:colOff>95250</xdr:colOff>
      <xdr:row>15</xdr:row>
      <xdr:rowOff>66675</xdr:rowOff>
    </xdr:to>
    <xdr:sp macro="" textlink="">
      <xdr:nvSpPr>
        <xdr:cNvPr id="16" name="Line 77">
          <a:extLst>
            <a:ext uri="{FF2B5EF4-FFF2-40B4-BE49-F238E27FC236}">
              <a16:creationId xmlns:a16="http://schemas.microsoft.com/office/drawing/2014/main" id="{00000000-0008-0000-0200-000010000000}"/>
            </a:ext>
          </a:extLst>
        </xdr:cNvPr>
        <xdr:cNvSpPr>
          <a:spLocks noChangeShapeType="1"/>
        </xdr:cNvSpPr>
      </xdr:nvSpPr>
      <xdr:spPr bwMode="auto">
        <a:xfrm>
          <a:off x="990600" y="2209800"/>
          <a:ext cx="25717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152400</xdr:colOff>
      <xdr:row>27</xdr:row>
      <xdr:rowOff>9525</xdr:rowOff>
    </xdr:from>
    <xdr:to>
      <xdr:col>21</xdr:col>
      <xdr:colOff>257175</xdr:colOff>
      <xdr:row>27</xdr:row>
      <xdr:rowOff>9525</xdr:rowOff>
    </xdr:to>
    <xdr:sp macro="" textlink="">
      <xdr:nvSpPr>
        <xdr:cNvPr id="17" name="Line 86">
          <a:extLst>
            <a:ext uri="{FF2B5EF4-FFF2-40B4-BE49-F238E27FC236}">
              <a16:creationId xmlns:a16="http://schemas.microsoft.com/office/drawing/2014/main" id="{00000000-0008-0000-0200-000011000000}"/>
            </a:ext>
          </a:extLst>
        </xdr:cNvPr>
        <xdr:cNvSpPr>
          <a:spLocks noChangeShapeType="1"/>
        </xdr:cNvSpPr>
      </xdr:nvSpPr>
      <xdr:spPr bwMode="auto">
        <a:xfrm>
          <a:off x="647700" y="3867150"/>
          <a:ext cx="100107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752474</xdr:colOff>
      <xdr:row>23</xdr:row>
      <xdr:rowOff>9525</xdr:rowOff>
    </xdr:from>
    <xdr:to>
      <xdr:col>3</xdr:col>
      <xdr:colOff>152399</xdr:colOff>
      <xdr:row>23</xdr:row>
      <xdr:rowOff>152400</xdr:rowOff>
    </xdr:to>
    <xdr:sp macro="" textlink="">
      <xdr:nvSpPr>
        <xdr:cNvPr id="18" name="Rectangle 87">
          <a:extLst>
            <a:ext uri="{FF2B5EF4-FFF2-40B4-BE49-F238E27FC236}">
              <a16:creationId xmlns:a16="http://schemas.microsoft.com/office/drawing/2014/main" id="{00000000-0008-0000-0200-000012000000}"/>
            </a:ext>
          </a:extLst>
        </xdr:cNvPr>
        <xdr:cNvSpPr>
          <a:spLocks noChangeArrowheads="1"/>
        </xdr:cNvSpPr>
      </xdr:nvSpPr>
      <xdr:spPr bwMode="auto">
        <a:xfrm>
          <a:off x="1485899" y="3295650"/>
          <a:ext cx="152400" cy="13335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Lst>
      </xdr:spPr>
    </xdr:sp>
    <xdr:clientData/>
  </xdr:twoCellAnchor>
  <xdr:twoCellAnchor>
    <xdr:from>
      <xdr:col>3</xdr:col>
      <xdr:colOff>0</xdr:colOff>
      <xdr:row>24</xdr:row>
      <xdr:rowOff>19050</xdr:rowOff>
    </xdr:from>
    <xdr:to>
      <xdr:col>3</xdr:col>
      <xdr:colOff>142875</xdr:colOff>
      <xdr:row>24</xdr:row>
      <xdr:rowOff>142875</xdr:rowOff>
    </xdr:to>
    <xdr:sp macro="" textlink="">
      <xdr:nvSpPr>
        <xdr:cNvPr id="19" name="Rectangle 89">
          <a:extLst>
            <a:ext uri="{FF2B5EF4-FFF2-40B4-BE49-F238E27FC236}">
              <a16:creationId xmlns:a16="http://schemas.microsoft.com/office/drawing/2014/main" id="{00000000-0008-0000-0200-000013000000}"/>
            </a:ext>
          </a:extLst>
        </xdr:cNvPr>
        <xdr:cNvSpPr>
          <a:spLocks noChangeArrowheads="1"/>
        </xdr:cNvSpPr>
      </xdr:nvSpPr>
      <xdr:spPr bwMode="auto">
        <a:xfrm>
          <a:off x="1485900" y="3448050"/>
          <a:ext cx="142875" cy="1238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3</xdr:col>
          <xdr:colOff>213360</xdr:colOff>
          <xdr:row>22</xdr:row>
          <xdr:rowOff>22860</xdr:rowOff>
        </xdr:from>
        <xdr:to>
          <xdr:col>4</xdr:col>
          <xdr:colOff>106680</xdr:colOff>
          <xdr:row>22</xdr:row>
          <xdr:rowOff>160020</xdr:rowOff>
        </xdr:to>
        <xdr:sp macro="" textlink="">
          <xdr:nvSpPr>
            <xdr:cNvPr id="7169" name="Picture 90" hidden="1">
              <a:extLst>
                <a:ext uri="{63B3BB69-23CF-44E3-9099-C40C66FF867C}">
                  <a14:compatExt spid="_x0000_s7169"/>
                </a:ext>
                <a:ext uri="{FF2B5EF4-FFF2-40B4-BE49-F238E27FC236}">
                  <a16:creationId xmlns:a16="http://schemas.microsoft.com/office/drawing/2014/main" id="{00000000-0008-0000-0200-0000011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220980</xdr:colOff>
          <xdr:row>23</xdr:row>
          <xdr:rowOff>22860</xdr:rowOff>
        </xdr:from>
        <xdr:to>
          <xdr:col>6</xdr:col>
          <xdr:colOff>220980</xdr:colOff>
          <xdr:row>23</xdr:row>
          <xdr:rowOff>160020</xdr:rowOff>
        </xdr:to>
        <xdr:sp macro="" textlink="">
          <xdr:nvSpPr>
            <xdr:cNvPr id="7170" name="Picture 91" hidden="1">
              <a:extLst>
                <a:ext uri="{63B3BB69-23CF-44E3-9099-C40C66FF867C}">
                  <a14:compatExt spid="_x0000_s7170"/>
                </a:ext>
                <a:ext uri="{FF2B5EF4-FFF2-40B4-BE49-F238E27FC236}">
                  <a16:creationId xmlns:a16="http://schemas.microsoft.com/office/drawing/2014/main" id="{00000000-0008-0000-0200-0000021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oneCellAnchor>
    <xdr:from>
      <xdr:col>5</xdr:col>
      <xdr:colOff>0</xdr:colOff>
      <xdr:row>22</xdr:row>
      <xdr:rowOff>19050</xdr:rowOff>
    </xdr:from>
    <xdr:ext cx="142875" cy="123825"/>
    <xdr:sp macro="" textlink="">
      <xdr:nvSpPr>
        <xdr:cNvPr id="22" name="Rectangle 97">
          <a:extLst>
            <a:ext uri="{FF2B5EF4-FFF2-40B4-BE49-F238E27FC236}">
              <a16:creationId xmlns:a16="http://schemas.microsoft.com/office/drawing/2014/main" id="{00000000-0008-0000-0200-000016000000}"/>
            </a:ext>
          </a:extLst>
        </xdr:cNvPr>
        <xdr:cNvSpPr>
          <a:spLocks noChangeArrowheads="1"/>
        </xdr:cNvSpPr>
      </xdr:nvSpPr>
      <xdr:spPr bwMode="auto">
        <a:xfrm>
          <a:off x="2476500" y="3162300"/>
          <a:ext cx="142875" cy="1238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Lst>
      </xdr:spPr>
    </xdr:sp>
    <xdr:clientData/>
  </xdr:oneCellAnchor>
  <xdr:oneCellAnchor>
    <xdr:from>
      <xdr:col>5</xdr:col>
      <xdr:colOff>0</xdr:colOff>
      <xdr:row>23</xdr:row>
      <xdr:rowOff>9525</xdr:rowOff>
    </xdr:from>
    <xdr:ext cx="142875" cy="123825"/>
    <xdr:sp macro="" textlink="">
      <xdr:nvSpPr>
        <xdr:cNvPr id="23" name="Rectangle 98">
          <a:extLst>
            <a:ext uri="{FF2B5EF4-FFF2-40B4-BE49-F238E27FC236}">
              <a16:creationId xmlns:a16="http://schemas.microsoft.com/office/drawing/2014/main" id="{00000000-0008-0000-0200-000017000000}"/>
            </a:ext>
          </a:extLst>
        </xdr:cNvPr>
        <xdr:cNvSpPr>
          <a:spLocks noChangeArrowheads="1"/>
        </xdr:cNvSpPr>
      </xdr:nvSpPr>
      <xdr:spPr bwMode="auto">
        <a:xfrm>
          <a:off x="2476500" y="3295650"/>
          <a:ext cx="142875" cy="1238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Lst>
      </xdr:spPr>
      <xdr:txBody>
        <a:bodyPr/>
        <a:lstStyle/>
        <a:p>
          <a:endParaRPr lang="en-US"/>
        </a:p>
      </xdr:txBody>
    </xdr:sp>
    <xdr:clientData/>
  </xdr:oneCellAnchor>
  <xdr:oneCellAnchor>
    <xdr:from>
      <xdr:col>5</xdr:col>
      <xdr:colOff>0</xdr:colOff>
      <xdr:row>25</xdr:row>
      <xdr:rowOff>19050</xdr:rowOff>
    </xdr:from>
    <xdr:ext cx="142875" cy="123825"/>
    <xdr:sp macro="" textlink="">
      <xdr:nvSpPr>
        <xdr:cNvPr id="24" name="Rectangle 100">
          <a:extLst>
            <a:ext uri="{FF2B5EF4-FFF2-40B4-BE49-F238E27FC236}">
              <a16:creationId xmlns:a16="http://schemas.microsoft.com/office/drawing/2014/main" id="{00000000-0008-0000-0200-000018000000}"/>
            </a:ext>
          </a:extLst>
        </xdr:cNvPr>
        <xdr:cNvSpPr>
          <a:spLocks noChangeArrowheads="1"/>
        </xdr:cNvSpPr>
      </xdr:nvSpPr>
      <xdr:spPr bwMode="auto">
        <a:xfrm>
          <a:off x="2476500" y="3590925"/>
          <a:ext cx="142875" cy="1238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Lst>
      </xdr:spPr>
    </xdr:sp>
    <xdr:clientData/>
  </xdr:oneCellAnchor>
  <mc:AlternateContent xmlns:mc="http://schemas.openxmlformats.org/markup-compatibility/2006">
    <mc:Choice xmlns:a14="http://schemas.microsoft.com/office/drawing/2010/main" Requires="a14">
      <xdr:twoCellAnchor editAs="oneCell">
        <xdr:from>
          <xdr:col>5</xdr:col>
          <xdr:colOff>213360</xdr:colOff>
          <xdr:row>22</xdr:row>
          <xdr:rowOff>22860</xdr:rowOff>
        </xdr:from>
        <xdr:to>
          <xdr:col>11</xdr:col>
          <xdr:colOff>60960</xdr:colOff>
          <xdr:row>23</xdr:row>
          <xdr:rowOff>7620</xdr:rowOff>
        </xdr:to>
        <xdr:sp macro="" textlink="">
          <xdr:nvSpPr>
            <xdr:cNvPr id="7171" name="Picture 101" hidden="1">
              <a:extLst>
                <a:ext uri="{63B3BB69-23CF-44E3-9099-C40C66FF867C}">
                  <a14:compatExt spid="_x0000_s7171"/>
                </a:ext>
                <a:ext uri="{FF2B5EF4-FFF2-40B4-BE49-F238E27FC236}">
                  <a16:creationId xmlns:a16="http://schemas.microsoft.com/office/drawing/2014/main" id="{00000000-0008-0000-0200-0000031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213360</xdr:colOff>
          <xdr:row>23</xdr:row>
          <xdr:rowOff>30480</xdr:rowOff>
        </xdr:from>
        <xdr:to>
          <xdr:col>4</xdr:col>
          <xdr:colOff>106680</xdr:colOff>
          <xdr:row>24</xdr:row>
          <xdr:rowOff>0</xdr:rowOff>
        </xdr:to>
        <xdr:sp macro="" textlink="">
          <xdr:nvSpPr>
            <xdr:cNvPr id="7172" name="Picture 102" hidden="1">
              <a:extLst>
                <a:ext uri="{63B3BB69-23CF-44E3-9099-C40C66FF867C}">
                  <a14:compatExt spid="_x0000_s7172"/>
                </a:ext>
                <a:ext uri="{FF2B5EF4-FFF2-40B4-BE49-F238E27FC236}">
                  <a16:creationId xmlns:a16="http://schemas.microsoft.com/office/drawing/2014/main" id="{00000000-0008-0000-0200-0000041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oneCellAnchor>
    <xdr:from>
      <xdr:col>7</xdr:col>
      <xdr:colOff>209550</xdr:colOff>
      <xdr:row>25</xdr:row>
      <xdr:rowOff>9525</xdr:rowOff>
    </xdr:from>
    <xdr:ext cx="333375" cy="142875"/>
    <xdr:pic>
      <xdr:nvPicPr>
        <xdr:cNvPr id="27" name="Picture 105">
          <a:extLst>
            <a:ext uri="{FF2B5EF4-FFF2-40B4-BE49-F238E27FC236}">
              <a16:creationId xmlns:a16="http://schemas.microsoft.com/office/drawing/2014/main" id="{00000000-0008-0000-0200-00001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76650" y="3581400"/>
          <a:ext cx="333375" cy="1428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pic>
    <xdr:clientData/>
  </xdr:oneCellAnchor>
  <xdr:oneCellAnchor>
    <xdr:from>
      <xdr:col>11</xdr:col>
      <xdr:colOff>0</xdr:colOff>
      <xdr:row>22</xdr:row>
      <xdr:rowOff>19050</xdr:rowOff>
    </xdr:from>
    <xdr:ext cx="142875" cy="123825"/>
    <xdr:sp macro="" textlink="">
      <xdr:nvSpPr>
        <xdr:cNvPr id="28" name="Rectangle 106">
          <a:extLst>
            <a:ext uri="{FF2B5EF4-FFF2-40B4-BE49-F238E27FC236}">
              <a16:creationId xmlns:a16="http://schemas.microsoft.com/office/drawing/2014/main" id="{00000000-0008-0000-0200-00001C000000}"/>
            </a:ext>
          </a:extLst>
        </xdr:cNvPr>
        <xdr:cNvSpPr>
          <a:spLocks noChangeArrowheads="1"/>
        </xdr:cNvSpPr>
      </xdr:nvSpPr>
      <xdr:spPr bwMode="auto">
        <a:xfrm>
          <a:off x="5448300" y="3162300"/>
          <a:ext cx="142875" cy="1238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Lst>
      </xdr:spPr>
    </xdr:sp>
    <xdr:clientData/>
  </xdr:oneCellAnchor>
  <mc:AlternateContent xmlns:mc="http://schemas.openxmlformats.org/markup-compatibility/2006">
    <mc:Choice xmlns:a14="http://schemas.microsoft.com/office/drawing/2010/main" Requires="a14">
      <xdr:twoCellAnchor editAs="oneCell">
        <xdr:from>
          <xdr:col>11</xdr:col>
          <xdr:colOff>190500</xdr:colOff>
          <xdr:row>22</xdr:row>
          <xdr:rowOff>7620</xdr:rowOff>
        </xdr:from>
        <xdr:to>
          <xdr:col>17</xdr:col>
          <xdr:colOff>7620</xdr:colOff>
          <xdr:row>23</xdr:row>
          <xdr:rowOff>0</xdr:rowOff>
        </xdr:to>
        <xdr:sp macro="" textlink="">
          <xdr:nvSpPr>
            <xdr:cNvPr id="7173" name="Picture 107" hidden="1">
              <a:extLst>
                <a:ext uri="{63B3BB69-23CF-44E3-9099-C40C66FF867C}">
                  <a14:compatExt spid="_x0000_s7173"/>
                </a:ext>
                <a:ext uri="{FF2B5EF4-FFF2-40B4-BE49-F238E27FC236}">
                  <a16:creationId xmlns:a16="http://schemas.microsoft.com/office/drawing/2014/main" id="{00000000-0008-0000-0200-0000051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oneCellAnchor>
    <xdr:from>
      <xdr:col>16</xdr:col>
      <xdr:colOff>0</xdr:colOff>
      <xdr:row>22</xdr:row>
      <xdr:rowOff>19050</xdr:rowOff>
    </xdr:from>
    <xdr:ext cx="142875" cy="123825"/>
    <xdr:sp macro="" textlink="">
      <xdr:nvSpPr>
        <xdr:cNvPr id="30" name="Rectangle 108">
          <a:extLst>
            <a:ext uri="{FF2B5EF4-FFF2-40B4-BE49-F238E27FC236}">
              <a16:creationId xmlns:a16="http://schemas.microsoft.com/office/drawing/2014/main" id="{00000000-0008-0000-0200-00001E000000}"/>
            </a:ext>
          </a:extLst>
        </xdr:cNvPr>
        <xdr:cNvSpPr>
          <a:spLocks noChangeArrowheads="1"/>
        </xdr:cNvSpPr>
      </xdr:nvSpPr>
      <xdr:spPr bwMode="auto">
        <a:xfrm>
          <a:off x="7924800" y="3162300"/>
          <a:ext cx="142875" cy="1238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Lst>
      </xdr:spPr>
    </xdr:sp>
    <xdr:clientData/>
  </xdr:oneCellAnchor>
  <mc:AlternateContent xmlns:mc="http://schemas.openxmlformats.org/markup-compatibility/2006">
    <mc:Choice xmlns:a14="http://schemas.microsoft.com/office/drawing/2010/main" Requires="a14">
      <xdr:twoCellAnchor editAs="oneCell">
        <xdr:from>
          <xdr:col>16</xdr:col>
          <xdr:colOff>190500</xdr:colOff>
          <xdr:row>22</xdr:row>
          <xdr:rowOff>0</xdr:rowOff>
        </xdr:from>
        <xdr:to>
          <xdr:col>16</xdr:col>
          <xdr:colOff>609600</xdr:colOff>
          <xdr:row>22</xdr:row>
          <xdr:rowOff>160020</xdr:rowOff>
        </xdr:to>
        <xdr:sp macro="" textlink="">
          <xdr:nvSpPr>
            <xdr:cNvPr id="7174" name="Picture 109" hidden="1">
              <a:extLst>
                <a:ext uri="{63B3BB69-23CF-44E3-9099-C40C66FF867C}">
                  <a14:compatExt spid="_x0000_s7174"/>
                </a:ext>
                <a:ext uri="{FF2B5EF4-FFF2-40B4-BE49-F238E27FC236}">
                  <a16:creationId xmlns:a16="http://schemas.microsoft.com/office/drawing/2014/main" id="{00000000-0008-0000-0200-0000061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twoCellAnchor>
    <xdr:from>
      <xdr:col>11</xdr:col>
      <xdr:colOff>323850</xdr:colOff>
      <xdr:row>23</xdr:row>
      <xdr:rowOff>161925</xdr:rowOff>
    </xdr:from>
    <xdr:to>
      <xdr:col>16</xdr:col>
      <xdr:colOff>9525</xdr:colOff>
      <xdr:row>23</xdr:row>
      <xdr:rowOff>161925</xdr:rowOff>
    </xdr:to>
    <xdr:sp macro="" textlink="">
      <xdr:nvSpPr>
        <xdr:cNvPr id="32" name="Line 111">
          <a:extLst>
            <a:ext uri="{FF2B5EF4-FFF2-40B4-BE49-F238E27FC236}">
              <a16:creationId xmlns:a16="http://schemas.microsoft.com/office/drawing/2014/main" id="{00000000-0008-0000-0200-000020000000}"/>
            </a:ext>
          </a:extLst>
        </xdr:cNvPr>
        <xdr:cNvSpPr>
          <a:spLocks noChangeShapeType="1"/>
        </xdr:cNvSpPr>
      </xdr:nvSpPr>
      <xdr:spPr bwMode="auto">
        <a:xfrm>
          <a:off x="5772150" y="3429000"/>
          <a:ext cx="21621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oneCellAnchor>
    <xdr:from>
      <xdr:col>6</xdr:col>
      <xdr:colOff>361950</xdr:colOff>
      <xdr:row>25</xdr:row>
      <xdr:rowOff>19050</xdr:rowOff>
    </xdr:from>
    <xdr:ext cx="171450" cy="155331"/>
    <xdr:sp macro="" textlink="">
      <xdr:nvSpPr>
        <xdr:cNvPr id="33" name="Rectangle 112">
          <a:extLst>
            <a:ext uri="{FF2B5EF4-FFF2-40B4-BE49-F238E27FC236}">
              <a16:creationId xmlns:a16="http://schemas.microsoft.com/office/drawing/2014/main" id="{00000000-0008-0000-0200-000021000000}"/>
            </a:ext>
          </a:extLst>
        </xdr:cNvPr>
        <xdr:cNvSpPr>
          <a:spLocks noChangeArrowheads="1"/>
        </xdr:cNvSpPr>
      </xdr:nvSpPr>
      <xdr:spPr bwMode="auto">
        <a:xfrm>
          <a:off x="3333750" y="3590925"/>
          <a:ext cx="171450" cy="155331"/>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Lst>
      </xdr:spPr>
    </xdr:sp>
    <xdr:clientData/>
  </xdr:oneCellAnchor>
  <mc:AlternateContent xmlns:mc="http://schemas.openxmlformats.org/markup-compatibility/2006">
    <mc:Choice xmlns:a14="http://schemas.microsoft.com/office/drawing/2010/main" Requires="a14">
      <xdr:twoCellAnchor editAs="oneCell">
        <xdr:from>
          <xdr:col>5</xdr:col>
          <xdr:colOff>213360</xdr:colOff>
          <xdr:row>25</xdr:row>
          <xdr:rowOff>7620</xdr:rowOff>
        </xdr:from>
        <xdr:to>
          <xdr:col>6</xdr:col>
          <xdr:colOff>213360</xdr:colOff>
          <xdr:row>25</xdr:row>
          <xdr:rowOff>152400</xdr:rowOff>
        </xdr:to>
        <xdr:sp macro="" textlink="">
          <xdr:nvSpPr>
            <xdr:cNvPr id="7175" name="Picture 113" hidden="1">
              <a:extLst>
                <a:ext uri="{63B3BB69-23CF-44E3-9099-C40C66FF867C}">
                  <a14:compatExt spid="_x0000_s7175"/>
                </a:ext>
                <a:ext uri="{FF2B5EF4-FFF2-40B4-BE49-F238E27FC236}">
                  <a16:creationId xmlns:a16="http://schemas.microsoft.com/office/drawing/2014/main" id="{00000000-0008-0000-0200-0000071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twoCellAnchor>
    <xdr:from>
      <xdr:col>14</xdr:col>
      <xdr:colOff>57150</xdr:colOff>
      <xdr:row>66</xdr:row>
      <xdr:rowOff>19050</xdr:rowOff>
    </xdr:from>
    <xdr:to>
      <xdr:col>14</xdr:col>
      <xdr:colOff>209550</xdr:colOff>
      <xdr:row>66</xdr:row>
      <xdr:rowOff>152400</xdr:rowOff>
    </xdr:to>
    <xdr:sp macro="" textlink="">
      <xdr:nvSpPr>
        <xdr:cNvPr id="35" name="Rectangle 114">
          <a:extLst>
            <a:ext uri="{FF2B5EF4-FFF2-40B4-BE49-F238E27FC236}">
              <a16:creationId xmlns:a16="http://schemas.microsoft.com/office/drawing/2014/main" id="{00000000-0008-0000-0200-000023000000}"/>
            </a:ext>
          </a:extLst>
        </xdr:cNvPr>
        <xdr:cNvSpPr>
          <a:spLocks noChangeArrowheads="1"/>
        </xdr:cNvSpPr>
      </xdr:nvSpPr>
      <xdr:spPr bwMode="auto">
        <a:xfrm>
          <a:off x="6991350" y="9305925"/>
          <a:ext cx="152400" cy="1238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Lst>
      </xdr:spPr>
    </xdr:sp>
    <xdr:clientData/>
  </xdr:twoCellAnchor>
  <xdr:twoCellAnchor>
    <xdr:from>
      <xdr:col>8</xdr:col>
      <xdr:colOff>228600</xdr:colOff>
      <xdr:row>55</xdr:row>
      <xdr:rowOff>142875</xdr:rowOff>
    </xdr:from>
    <xdr:to>
      <xdr:col>11</xdr:col>
      <xdr:colOff>9525</xdr:colOff>
      <xdr:row>55</xdr:row>
      <xdr:rowOff>142875</xdr:rowOff>
    </xdr:to>
    <xdr:sp macro="" textlink="">
      <xdr:nvSpPr>
        <xdr:cNvPr id="36" name="Line 115">
          <a:extLst>
            <a:ext uri="{FF2B5EF4-FFF2-40B4-BE49-F238E27FC236}">
              <a16:creationId xmlns:a16="http://schemas.microsoft.com/office/drawing/2014/main" id="{00000000-0008-0000-0200-000024000000}"/>
            </a:ext>
          </a:extLst>
        </xdr:cNvPr>
        <xdr:cNvSpPr>
          <a:spLocks noChangeShapeType="1"/>
        </xdr:cNvSpPr>
      </xdr:nvSpPr>
      <xdr:spPr bwMode="auto">
        <a:xfrm>
          <a:off x="4191000" y="7858125"/>
          <a:ext cx="12668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190500</xdr:colOff>
      <xdr:row>55</xdr:row>
      <xdr:rowOff>142875</xdr:rowOff>
    </xdr:from>
    <xdr:to>
      <xdr:col>3</xdr:col>
      <xdr:colOff>85725</xdr:colOff>
      <xdr:row>55</xdr:row>
      <xdr:rowOff>142875</xdr:rowOff>
    </xdr:to>
    <xdr:sp macro="" textlink="">
      <xdr:nvSpPr>
        <xdr:cNvPr id="37" name="Line 116">
          <a:extLst>
            <a:ext uri="{FF2B5EF4-FFF2-40B4-BE49-F238E27FC236}">
              <a16:creationId xmlns:a16="http://schemas.microsoft.com/office/drawing/2014/main" id="{00000000-0008-0000-0200-000025000000}"/>
            </a:ext>
          </a:extLst>
        </xdr:cNvPr>
        <xdr:cNvSpPr>
          <a:spLocks noChangeShapeType="1"/>
        </xdr:cNvSpPr>
      </xdr:nvSpPr>
      <xdr:spPr bwMode="auto">
        <a:xfrm>
          <a:off x="685800" y="7858125"/>
          <a:ext cx="8858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266700</xdr:colOff>
      <xdr:row>55</xdr:row>
      <xdr:rowOff>142875</xdr:rowOff>
    </xdr:from>
    <xdr:to>
      <xdr:col>7</xdr:col>
      <xdr:colOff>219075</xdr:colOff>
      <xdr:row>55</xdr:row>
      <xdr:rowOff>142875</xdr:rowOff>
    </xdr:to>
    <xdr:sp macro="" textlink="">
      <xdr:nvSpPr>
        <xdr:cNvPr id="38" name="Line 117">
          <a:extLst>
            <a:ext uri="{FF2B5EF4-FFF2-40B4-BE49-F238E27FC236}">
              <a16:creationId xmlns:a16="http://schemas.microsoft.com/office/drawing/2014/main" id="{00000000-0008-0000-0200-000026000000}"/>
            </a:ext>
          </a:extLst>
        </xdr:cNvPr>
        <xdr:cNvSpPr>
          <a:spLocks noChangeShapeType="1"/>
        </xdr:cNvSpPr>
      </xdr:nvSpPr>
      <xdr:spPr bwMode="auto">
        <a:xfrm>
          <a:off x="2247900" y="7858125"/>
          <a:ext cx="14382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123825</xdr:colOff>
      <xdr:row>64</xdr:row>
      <xdr:rowOff>161925</xdr:rowOff>
    </xdr:from>
    <xdr:to>
      <xdr:col>12</xdr:col>
      <xdr:colOff>342900</xdr:colOff>
      <xdr:row>64</xdr:row>
      <xdr:rowOff>161925</xdr:rowOff>
    </xdr:to>
    <xdr:sp macro="" textlink="">
      <xdr:nvSpPr>
        <xdr:cNvPr id="39" name="Line 132">
          <a:extLst>
            <a:ext uri="{FF2B5EF4-FFF2-40B4-BE49-F238E27FC236}">
              <a16:creationId xmlns:a16="http://schemas.microsoft.com/office/drawing/2014/main" id="{00000000-0008-0000-0200-000027000000}"/>
            </a:ext>
          </a:extLst>
        </xdr:cNvPr>
        <xdr:cNvSpPr>
          <a:spLocks noChangeShapeType="1"/>
        </xdr:cNvSpPr>
      </xdr:nvSpPr>
      <xdr:spPr bwMode="auto">
        <a:xfrm>
          <a:off x="5076825" y="9144000"/>
          <a:ext cx="12096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28575</xdr:colOff>
      <xdr:row>62</xdr:row>
      <xdr:rowOff>0</xdr:rowOff>
    </xdr:from>
    <xdr:to>
      <xdr:col>6</xdr:col>
      <xdr:colOff>28575</xdr:colOff>
      <xdr:row>62</xdr:row>
      <xdr:rowOff>0</xdr:rowOff>
    </xdr:to>
    <xdr:sp macro="" textlink="">
      <xdr:nvSpPr>
        <xdr:cNvPr id="40" name="Line 133">
          <a:extLst>
            <a:ext uri="{FF2B5EF4-FFF2-40B4-BE49-F238E27FC236}">
              <a16:creationId xmlns:a16="http://schemas.microsoft.com/office/drawing/2014/main" id="{00000000-0008-0000-0200-000028000000}"/>
            </a:ext>
          </a:extLst>
        </xdr:cNvPr>
        <xdr:cNvSpPr>
          <a:spLocks noChangeShapeType="1"/>
        </xdr:cNvSpPr>
      </xdr:nvSpPr>
      <xdr:spPr bwMode="auto">
        <a:xfrm>
          <a:off x="1514475" y="8715375"/>
          <a:ext cx="14859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219075</xdr:colOff>
      <xdr:row>51</xdr:row>
      <xdr:rowOff>238125</xdr:rowOff>
    </xdr:from>
    <xdr:to>
      <xdr:col>5</xdr:col>
      <xdr:colOff>323850</xdr:colOff>
      <xdr:row>51</xdr:row>
      <xdr:rowOff>238125</xdr:rowOff>
    </xdr:to>
    <xdr:sp macro="" textlink="">
      <xdr:nvSpPr>
        <xdr:cNvPr id="41" name="Line 136">
          <a:extLst>
            <a:ext uri="{FF2B5EF4-FFF2-40B4-BE49-F238E27FC236}">
              <a16:creationId xmlns:a16="http://schemas.microsoft.com/office/drawing/2014/main" id="{00000000-0008-0000-0200-000029000000}"/>
            </a:ext>
          </a:extLst>
        </xdr:cNvPr>
        <xdr:cNvSpPr>
          <a:spLocks noChangeShapeType="1"/>
        </xdr:cNvSpPr>
      </xdr:nvSpPr>
      <xdr:spPr bwMode="auto">
        <a:xfrm>
          <a:off x="2200275" y="7429500"/>
          <a:ext cx="6000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457200</xdr:colOff>
      <xdr:row>51</xdr:row>
      <xdr:rowOff>238125</xdr:rowOff>
    </xdr:from>
    <xdr:to>
      <xdr:col>3</xdr:col>
      <xdr:colOff>428625</xdr:colOff>
      <xdr:row>51</xdr:row>
      <xdr:rowOff>238125</xdr:rowOff>
    </xdr:to>
    <xdr:sp macro="" textlink="">
      <xdr:nvSpPr>
        <xdr:cNvPr id="42" name="Line 137">
          <a:extLst>
            <a:ext uri="{FF2B5EF4-FFF2-40B4-BE49-F238E27FC236}">
              <a16:creationId xmlns:a16="http://schemas.microsoft.com/office/drawing/2014/main" id="{00000000-0008-0000-0200-00002A000000}"/>
            </a:ext>
          </a:extLst>
        </xdr:cNvPr>
        <xdr:cNvSpPr>
          <a:spLocks noChangeShapeType="1"/>
        </xdr:cNvSpPr>
      </xdr:nvSpPr>
      <xdr:spPr bwMode="auto">
        <a:xfrm>
          <a:off x="1447800" y="7429500"/>
          <a:ext cx="4667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219075</xdr:colOff>
      <xdr:row>51</xdr:row>
      <xdr:rowOff>238125</xdr:rowOff>
    </xdr:from>
    <xdr:to>
      <xdr:col>11</xdr:col>
      <xdr:colOff>333375</xdr:colOff>
      <xdr:row>51</xdr:row>
      <xdr:rowOff>238125</xdr:rowOff>
    </xdr:to>
    <xdr:sp macro="" textlink="">
      <xdr:nvSpPr>
        <xdr:cNvPr id="43" name="Line 138">
          <a:extLst>
            <a:ext uri="{FF2B5EF4-FFF2-40B4-BE49-F238E27FC236}">
              <a16:creationId xmlns:a16="http://schemas.microsoft.com/office/drawing/2014/main" id="{00000000-0008-0000-0200-00002B000000}"/>
            </a:ext>
          </a:extLst>
        </xdr:cNvPr>
        <xdr:cNvSpPr>
          <a:spLocks noChangeShapeType="1"/>
        </xdr:cNvSpPr>
      </xdr:nvSpPr>
      <xdr:spPr bwMode="auto">
        <a:xfrm>
          <a:off x="5172075" y="7429500"/>
          <a:ext cx="6096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15</xdr:col>
          <xdr:colOff>45720</xdr:colOff>
          <xdr:row>51</xdr:row>
          <xdr:rowOff>106680</xdr:rowOff>
        </xdr:from>
        <xdr:to>
          <xdr:col>20</xdr:col>
          <xdr:colOff>144780</xdr:colOff>
          <xdr:row>52</xdr:row>
          <xdr:rowOff>7620</xdr:rowOff>
        </xdr:to>
        <xdr:sp macro="" textlink="">
          <xdr:nvSpPr>
            <xdr:cNvPr id="7176" name="Picture 139" hidden="1">
              <a:extLst>
                <a:ext uri="{63B3BB69-23CF-44E3-9099-C40C66FF867C}">
                  <a14:compatExt spid="_x0000_s7176"/>
                </a:ext>
                <a:ext uri="{FF2B5EF4-FFF2-40B4-BE49-F238E27FC236}">
                  <a16:creationId xmlns:a16="http://schemas.microsoft.com/office/drawing/2014/main" id="{00000000-0008-0000-0200-0000081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617220</xdr:colOff>
          <xdr:row>51</xdr:row>
          <xdr:rowOff>22860</xdr:rowOff>
        </xdr:from>
        <xdr:to>
          <xdr:col>21</xdr:col>
          <xdr:colOff>236220</xdr:colOff>
          <xdr:row>52</xdr:row>
          <xdr:rowOff>0</xdr:rowOff>
        </xdr:to>
        <xdr:sp macro="" textlink="">
          <xdr:nvSpPr>
            <xdr:cNvPr id="7177" name="Picture 142" hidden="1">
              <a:extLst>
                <a:ext uri="{63B3BB69-23CF-44E3-9099-C40C66FF867C}">
                  <a14:compatExt spid="_x0000_s7177"/>
                </a:ext>
                <a:ext uri="{FF2B5EF4-FFF2-40B4-BE49-F238E27FC236}">
                  <a16:creationId xmlns:a16="http://schemas.microsoft.com/office/drawing/2014/main" id="{00000000-0008-0000-0200-0000091C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twoCellAnchor>
    <xdr:from>
      <xdr:col>1</xdr:col>
      <xdr:colOff>190500</xdr:colOff>
      <xdr:row>64</xdr:row>
      <xdr:rowOff>152400</xdr:rowOff>
    </xdr:from>
    <xdr:to>
      <xdr:col>2</xdr:col>
      <xdr:colOff>685800</xdr:colOff>
      <xdr:row>64</xdr:row>
      <xdr:rowOff>152400</xdr:rowOff>
    </xdr:to>
    <xdr:sp macro="" textlink="">
      <xdr:nvSpPr>
        <xdr:cNvPr id="46" name="Line 157">
          <a:extLst>
            <a:ext uri="{FF2B5EF4-FFF2-40B4-BE49-F238E27FC236}">
              <a16:creationId xmlns:a16="http://schemas.microsoft.com/office/drawing/2014/main" id="{00000000-0008-0000-0200-00002E000000}"/>
            </a:ext>
          </a:extLst>
        </xdr:cNvPr>
        <xdr:cNvSpPr>
          <a:spLocks noChangeShapeType="1"/>
        </xdr:cNvSpPr>
      </xdr:nvSpPr>
      <xdr:spPr bwMode="auto">
        <a:xfrm>
          <a:off x="685800" y="9144000"/>
          <a:ext cx="8001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190500</xdr:colOff>
      <xdr:row>65</xdr:row>
      <xdr:rowOff>152400</xdr:rowOff>
    </xdr:from>
    <xdr:to>
      <xdr:col>3</xdr:col>
      <xdr:colOff>228600</xdr:colOff>
      <xdr:row>65</xdr:row>
      <xdr:rowOff>161925</xdr:rowOff>
    </xdr:to>
    <xdr:sp macro="" textlink="">
      <xdr:nvSpPr>
        <xdr:cNvPr id="47" name="Line 158">
          <a:extLst>
            <a:ext uri="{FF2B5EF4-FFF2-40B4-BE49-F238E27FC236}">
              <a16:creationId xmlns:a16="http://schemas.microsoft.com/office/drawing/2014/main" id="{00000000-0008-0000-0200-00002F000000}"/>
            </a:ext>
          </a:extLst>
        </xdr:cNvPr>
        <xdr:cNvSpPr>
          <a:spLocks noChangeShapeType="1"/>
        </xdr:cNvSpPr>
      </xdr:nvSpPr>
      <xdr:spPr bwMode="auto">
        <a:xfrm>
          <a:off x="685800" y="9286875"/>
          <a:ext cx="10287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190500</xdr:colOff>
      <xdr:row>67</xdr:row>
      <xdr:rowOff>161925</xdr:rowOff>
    </xdr:from>
    <xdr:to>
      <xdr:col>2</xdr:col>
      <xdr:colOff>714375</xdr:colOff>
      <xdr:row>67</xdr:row>
      <xdr:rowOff>161925</xdr:rowOff>
    </xdr:to>
    <xdr:sp macro="" textlink="">
      <xdr:nvSpPr>
        <xdr:cNvPr id="48" name="Line 159">
          <a:extLst>
            <a:ext uri="{FF2B5EF4-FFF2-40B4-BE49-F238E27FC236}">
              <a16:creationId xmlns:a16="http://schemas.microsoft.com/office/drawing/2014/main" id="{00000000-0008-0000-0200-000030000000}"/>
            </a:ext>
          </a:extLst>
        </xdr:cNvPr>
        <xdr:cNvSpPr>
          <a:spLocks noChangeShapeType="1"/>
        </xdr:cNvSpPr>
      </xdr:nvSpPr>
      <xdr:spPr bwMode="auto">
        <a:xfrm>
          <a:off x="685800" y="9572625"/>
          <a:ext cx="8001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12</xdr:col>
          <xdr:colOff>60960</xdr:colOff>
          <xdr:row>51</xdr:row>
          <xdr:rowOff>106680</xdr:rowOff>
        </xdr:from>
        <xdr:to>
          <xdr:col>13</xdr:col>
          <xdr:colOff>251460</xdr:colOff>
          <xdr:row>52</xdr:row>
          <xdr:rowOff>7620</xdr:rowOff>
        </xdr:to>
        <xdr:sp macro="" textlink="">
          <xdr:nvSpPr>
            <xdr:cNvPr id="7178" name="Picture 163" hidden="1">
              <a:extLst>
                <a:ext uri="{63B3BB69-23CF-44E3-9099-C40C66FF867C}">
                  <a14:compatExt spid="_x0000_s7178"/>
                </a:ext>
                <a:ext uri="{FF2B5EF4-FFF2-40B4-BE49-F238E27FC236}">
                  <a16:creationId xmlns:a16="http://schemas.microsoft.com/office/drawing/2014/main" id="{00000000-0008-0000-0200-00000A1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twoCellAnchor>
    <xdr:from>
      <xdr:col>13</xdr:col>
      <xdr:colOff>38100</xdr:colOff>
      <xdr:row>51</xdr:row>
      <xdr:rowOff>238125</xdr:rowOff>
    </xdr:from>
    <xdr:to>
      <xdr:col>15</xdr:col>
      <xdr:colOff>0</xdr:colOff>
      <xdr:row>51</xdr:row>
      <xdr:rowOff>238125</xdr:rowOff>
    </xdr:to>
    <xdr:sp macro="" textlink="">
      <xdr:nvSpPr>
        <xdr:cNvPr id="50" name="Line 164">
          <a:extLst>
            <a:ext uri="{FF2B5EF4-FFF2-40B4-BE49-F238E27FC236}">
              <a16:creationId xmlns:a16="http://schemas.microsoft.com/office/drawing/2014/main" id="{00000000-0008-0000-0200-000032000000}"/>
            </a:ext>
          </a:extLst>
        </xdr:cNvPr>
        <xdr:cNvSpPr>
          <a:spLocks noChangeShapeType="1"/>
        </xdr:cNvSpPr>
      </xdr:nvSpPr>
      <xdr:spPr bwMode="auto">
        <a:xfrm>
          <a:off x="6477000" y="7429500"/>
          <a:ext cx="9525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314325</xdr:colOff>
      <xdr:row>0</xdr:row>
      <xdr:rowOff>0</xdr:rowOff>
    </xdr:from>
    <xdr:to>
      <xdr:col>14</xdr:col>
      <xdr:colOff>228600</xdr:colOff>
      <xdr:row>2</xdr:row>
      <xdr:rowOff>171450</xdr:rowOff>
    </xdr:to>
    <xdr:pic>
      <xdr:nvPicPr>
        <xdr:cNvPr id="51" name="Picture 78">
          <a:extLst>
            <a:ext uri="{FF2B5EF4-FFF2-40B4-BE49-F238E27FC236}">
              <a16:creationId xmlns:a16="http://schemas.microsoft.com/office/drawing/2014/main" id="{00000000-0008-0000-0200-00003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762625" y="0"/>
          <a:ext cx="1400175" cy="4286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Lst>
      </xdr:spPr>
    </xdr:pic>
    <xdr:clientData/>
  </xdr:twoCellAnchor>
  <xdr:twoCellAnchor>
    <xdr:from>
      <xdr:col>3</xdr:col>
      <xdr:colOff>28575</xdr:colOff>
      <xdr:row>63</xdr:row>
      <xdr:rowOff>0</xdr:rowOff>
    </xdr:from>
    <xdr:to>
      <xdr:col>6</xdr:col>
      <xdr:colOff>28575</xdr:colOff>
      <xdr:row>63</xdr:row>
      <xdr:rowOff>0</xdr:rowOff>
    </xdr:to>
    <xdr:sp macro="" textlink="">
      <xdr:nvSpPr>
        <xdr:cNvPr id="52" name="Line 217">
          <a:extLst>
            <a:ext uri="{FF2B5EF4-FFF2-40B4-BE49-F238E27FC236}">
              <a16:creationId xmlns:a16="http://schemas.microsoft.com/office/drawing/2014/main" id="{00000000-0008-0000-0200-000034000000}"/>
            </a:ext>
          </a:extLst>
        </xdr:cNvPr>
        <xdr:cNvSpPr>
          <a:spLocks noChangeShapeType="1"/>
        </xdr:cNvSpPr>
      </xdr:nvSpPr>
      <xdr:spPr bwMode="auto">
        <a:xfrm>
          <a:off x="1514475" y="8858250"/>
          <a:ext cx="14859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28575</xdr:colOff>
      <xdr:row>64</xdr:row>
      <xdr:rowOff>0</xdr:rowOff>
    </xdr:from>
    <xdr:to>
      <xdr:col>6</xdr:col>
      <xdr:colOff>28575</xdr:colOff>
      <xdr:row>64</xdr:row>
      <xdr:rowOff>0</xdr:rowOff>
    </xdr:to>
    <xdr:sp macro="" textlink="">
      <xdr:nvSpPr>
        <xdr:cNvPr id="53" name="Line 218">
          <a:extLst>
            <a:ext uri="{FF2B5EF4-FFF2-40B4-BE49-F238E27FC236}">
              <a16:creationId xmlns:a16="http://schemas.microsoft.com/office/drawing/2014/main" id="{00000000-0008-0000-0200-000035000000}"/>
            </a:ext>
          </a:extLst>
        </xdr:cNvPr>
        <xdr:cNvSpPr>
          <a:spLocks noChangeShapeType="1"/>
        </xdr:cNvSpPr>
      </xdr:nvSpPr>
      <xdr:spPr bwMode="auto">
        <a:xfrm>
          <a:off x="1514475" y="9001125"/>
          <a:ext cx="14859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0</xdr:row>
      <xdr:rowOff>9525</xdr:rowOff>
    </xdr:from>
    <xdr:to>
      <xdr:col>1</xdr:col>
      <xdr:colOff>270617</xdr:colOff>
      <xdr:row>2</xdr:row>
      <xdr:rowOff>19151</xdr:rowOff>
    </xdr:to>
    <xdr:sp macro="" textlink="">
      <xdr:nvSpPr>
        <xdr:cNvPr id="54" name="AutoShape 219">
          <a:extLst>
            <a:ext uri="{FF2B5EF4-FFF2-40B4-BE49-F238E27FC236}">
              <a16:creationId xmlns:a16="http://schemas.microsoft.com/office/drawing/2014/main" id="{00000000-0008-0000-0200-000036000000}"/>
            </a:ext>
          </a:extLst>
        </xdr:cNvPr>
        <xdr:cNvSpPr>
          <a:spLocks noChangeArrowheads="1"/>
        </xdr:cNvSpPr>
      </xdr:nvSpPr>
      <xdr:spPr bwMode="auto">
        <a:xfrm>
          <a:off x="9525" y="9525"/>
          <a:ext cx="756392" cy="295376"/>
        </a:xfrm>
        <a:prstGeom prst="roundRect">
          <a:avLst>
            <a:gd name="adj"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27432" bIns="0" anchor="t" upright="1"/>
        <a:lstStyle/>
        <a:p>
          <a:pPr algn="ctr" rtl="0">
            <a:defRPr sz="1000"/>
          </a:pPr>
          <a:r>
            <a:rPr lang="en-US" sz="700" b="0" i="0" u="none" strike="noStrike" baseline="0">
              <a:solidFill>
                <a:srgbClr val="000000"/>
              </a:solidFill>
              <a:latin typeface="Arial Narrow"/>
            </a:rPr>
            <a:t>FORM</a:t>
          </a:r>
        </a:p>
        <a:p>
          <a:pPr algn="ctr" rtl="0">
            <a:defRPr sz="1000"/>
          </a:pPr>
          <a:r>
            <a:rPr lang="en-US" sz="1200" b="1" i="0" u="none" strike="noStrike" baseline="0">
              <a:solidFill>
                <a:srgbClr val="000000"/>
              </a:solidFill>
              <a:latin typeface="Arial Narrow"/>
            </a:rPr>
            <a:t>6</a:t>
          </a:r>
          <a:endParaRPr lang="en-US" sz="700" b="0" i="0" u="none" strike="noStrike" baseline="0">
            <a:solidFill>
              <a:srgbClr val="000000"/>
            </a:solidFill>
            <a:latin typeface="Arial Narrow"/>
          </a:endParaRPr>
        </a:p>
        <a:p>
          <a:pPr algn="ctr" rtl="0">
            <a:defRPr sz="1000"/>
          </a:pPr>
          <a:r>
            <a:rPr lang="en-US" sz="700" b="0" i="0" u="none" strike="noStrike" baseline="0">
              <a:solidFill>
                <a:srgbClr val="000000"/>
              </a:solidFill>
              <a:latin typeface="Arial Narrow"/>
            </a:rPr>
            <a:t>Rev  12/05</a:t>
          </a:r>
        </a:p>
      </xdr:txBody>
    </xdr:sp>
    <xdr:clientData/>
  </xdr:twoCellAnchor>
  <xdr:twoCellAnchor>
    <xdr:from>
      <xdr:col>0</xdr:col>
      <xdr:colOff>47625</xdr:colOff>
      <xdr:row>3</xdr:row>
      <xdr:rowOff>190500</xdr:rowOff>
    </xdr:from>
    <xdr:to>
      <xdr:col>14</xdr:col>
      <xdr:colOff>259104</xdr:colOff>
      <xdr:row>7</xdr:row>
      <xdr:rowOff>125757</xdr:rowOff>
    </xdr:to>
    <xdr:sp macro="" textlink="">
      <xdr:nvSpPr>
        <xdr:cNvPr id="55" name="AutoShape 220">
          <a:extLst>
            <a:ext uri="{FF2B5EF4-FFF2-40B4-BE49-F238E27FC236}">
              <a16:creationId xmlns:a16="http://schemas.microsoft.com/office/drawing/2014/main" id="{00000000-0008-0000-0200-000037000000}"/>
            </a:ext>
          </a:extLst>
        </xdr:cNvPr>
        <xdr:cNvSpPr>
          <a:spLocks noChangeArrowheads="1"/>
        </xdr:cNvSpPr>
      </xdr:nvSpPr>
      <xdr:spPr bwMode="auto">
        <a:xfrm>
          <a:off x="47625" y="571500"/>
          <a:ext cx="7145679" cy="554382"/>
        </a:xfrm>
        <a:prstGeom prst="roundRect">
          <a:avLst>
            <a:gd name="adj" fmla="val 1169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0" bIns="0" anchor="t" upright="1"/>
        <a:lstStyle/>
        <a:p>
          <a:pPr algn="l" rtl="0">
            <a:defRPr sz="1000"/>
          </a:pPr>
          <a:r>
            <a:rPr lang="en-US" sz="1000" b="0" i="0" u="none" strike="noStrike" baseline="0">
              <a:solidFill>
                <a:srgbClr val="000000"/>
              </a:solidFill>
              <a:latin typeface="Arial Narrow"/>
            </a:rPr>
            <a:t>Submit original plus one copy.  This form is to be submitted as an intent whenever a plugging is planned on a borehole.  The approved intent shall be valid for six months after the approval date after that period a new intent will be required.  After the plugging is complete, this form and one copy shall again be submitted as a subsequent report of the work as actually completed.</a:t>
          </a:r>
        </a:p>
      </xdr:txBody>
    </xdr:sp>
    <xdr:clientData/>
  </xdr:twoCellAnchor>
  <xdr:twoCellAnchor>
    <xdr:from>
      <xdr:col>0</xdr:col>
      <xdr:colOff>9525</xdr:colOff>
      <xdr:row>3</xdr:row>
      <xdr:rowOff>9525</xdr:rowOff>
    </xdr:from>
    <xdr:to>
      <xdr:col>14</xdr:col>
      <xdr:colOff>95250</xdr:colOff>
      <xdr:row>3</xdr:row>
      <xdr:rowOff>9525</xdr:rowOff>
    </xdr:to>
    <xdr:sp macro="" textlink="">
      <xdr:nvSpPr>
        <xdr:cNvPr id="56" name="Line 222">
          <a:extLst>
            <a:ext uri="{FF2B5EF4-FFF2-40B4-BE49-F238E27FC236}">
              <a16:creationId xmlns:a16="http://schemas.microsoft.com/office/drawing/2014/main" id="{00000000-0008-0000-0200-000038000000}"/>
            </a:ext>
          </a:extLst>
        </xdr:cNvPr>
        <xdr:cNvSpPr>
          <a:spLocks noChangeShapeType="1"/>
        </xdr:cNvSpPr>
      </xdr:nvSpPr>
      <xdr:spPr bwMode="auto">
        <a:xfrm>
          <a:off x="9525" y="438150"/>
          <a:ext cx="70199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5</xdr:col>
          <xdr:colOff>220980</xdr:colOff>
          <xdr:row>24</xdr:row>
          <xdr:rowOff>22860</xdr:rowOff>
        </xdr:from>
        <xdr:to>
          <xdr:col>6</xdr:col>
          <xdr:colOff>220980</xdr:colOff>
          <xdr:row>24</xdr:row>
          <xdr:rowOff>160020</xdr:rowOff>
        </xdr:to>
        <xdr:sp macro="" textlink="">
          <xdr:nvSpPr>
            <xdr:cNvPr id="7179" name="Picture 91" hidden="1">
              <a:extLst>
                <a:ext uri="{63B3BB69-23CF-44E3-9099-C40C66FF867C}">
                  <a14:compatExt spid="_x0000_s7179"/>
                </a:ext>
                <a:ext uri="{FF2B5EF4-FFF2-40B4-BE49-F238E27FC236}">
                  <a16:creationId xmlns:a16="http://schemas.microsoft.com/office/drawing/2014/main" id="{00000000-0008-0000-0200-00000B1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213360</xdr:colOff>
          <xdr:row>24</xdr:row>
          <xdr:rowOff>30480</xdr:rowOff>
        </xdr:from>
        <xdr:to>
          <xdr:col>4</xdr:col>
          <xdr:colOff>106680</xdr:colOff>
          <xdr:row>25</xdr:row>
          <xdr:rowOff>0</xdr:rowOff>
        </xdr:to>
        <xdr:sp macro="" textlink="">
          <xdr:nvSpPr>
            <xdr:cNvPr id="7180" name="Picture 102" hidden="1">
              <a:extLst>
                <a:ext uri="{63B3BB69-23CF-44E3-9099-C40C66FF867C}">
                  <a14:compatExt spid="_x0000_s7180"/>
                </a:ext>
                <a:ext uri="{FF2B5EF4-FFF2-40B4-BE49-F238E27FC236}">
                  <a16:creationId xmlns:a16="http://schemas.microsoft.com/office/drawing/2014/main" id="{00000000-0008-0000-0200-00000C1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twoCellAnchor>
    <xdr:from>
      <xdr:col>5</xdr:col>
      <xdr:colOff>0</xdr:colOff>
      <xdr:row>24</xdr:row>
      <xdr:rowOff>0</xdr:rowOff>
    </xdr:from>
    <xdr:to>
      <xdr:col>5</xdr:col>
      <xdr:colOff>142875</xdr:colOff>
      <xdr:row>24</xdr:row>
      <xdr:rowOff>123825</xdr:rowOff>
    </xdr:to>
    <xdr:sp macro="" textlink="">
      <xdr:nvSpPr>
        <xdr:cNvPr id="59" name="Rectangle 89">
          <a:extLst>
            <a:ext uri="{FF2B5EF4-FFF2-40B4-BE49-F238E27FC236}">
              <a16:creationId xmlns:a16="http://schemas.microsoft.com/office/drawing/2014/main" id="{00000000-0008-0000-0200-00003B000000}"/>
            </a:ext>
          </a:extLst>
        </xdr:cNvPr>
        <xdr:cNvSpPr>
          <a:spLocks noChangeArrowheads="1"/>
        </xdr:cNvSpPr>
      </xdr:nvSpPr>
      <xdr:spPr bwMode="auto">
        <a:xfrm>
          <a:off x="2476500" y="3429000"/>
          <a:ext cx="142875" cy="1238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Lst>
      </xdr:spPr>
    </xdr:sp>
    <xdr:clientData/>
  </xdr:twoCellAnchor>
  <xdr:twoCellAnchor>
    <xdr:from>
      <xdr:col>4</xdr:col>
      <xdr:colOff>219075</xdr:colOff>
      <xdr:row>52</xdr:row>
      <xdr:rowOff>238125</xdr:rowOff>
    </xdr:from>
    <xdr:to>
      <xdr:col>5</xdr:col>
      <xdr:colOff>323850</xdr:colOff>
      <xdr:row>52</xdr:row>
      <xdr:rowOff>238125</xdr:rowOff>
    </xdr:to>
    <xdr:sp macro="" textlink="">
      <xdr:nvSpPr>
        <xdr:cNvPr id="60" name="Line 136">
          <a:extLst>
            <a:ext uri="{FF2B5EF4-FFF2-40B4-BE49-F238E27FC236}">
              <a16:creationId xmlns:a16="http://schemas.microsoft.com/office/drawing/2014/main" id="{00000000-0008-0000-0200-00003C000000}"/>
            </a:ext>
          </a:extLst>
        </xdr:cNvPr>
        <xdr:cNvSpPr>
          <a:spLocks noChangeShapeType="1"/>
        </xdr:cNvSpPr>
      </xdr:nvSpPr>
      <xdr:spPr bwMode="auto">
        <a:xfrm>
          <a:off x="2200275" y="7572375"/>
          <a:ext cx="6000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457200</xdr:colOff>
      <xdr:row>52</xdr:row>
      <xdr:rowOff>238125</xdr:rowOff>
    </xdr:from>
    <xdr:to>
      <xdr:col>3</xdr:col>
      <xdr:colOff>428625</xdr:colOff>
      <xdr:row>52</xdr:row>
      <xdr:rowOff>238125</xdr:rowOff>
    </xdr:to>
    <xdr:sp macro="" textlink="">
      <xdr:nvSpPr>
        <xdr:cNvPr id="61" name="Line 137">
          <a:extLst>
            <a:ext uri="{FF2B5EF4-FFF2-40B4-BE49-F238E27FC236}">
              <a16:creationId xmlns:a16="http://schemas.microsoft.com/office/drawing/2014/main" id="{00000000-0008-0000-0200-00003D000000}"/>
            </a:ext>
          </a:extLst>
        </xdr:cNvPr>
        <xdr:cNvSpPr>
          <a:spLocks noChangeShapeType="1"/>
        </xdr:cNvSpPr>
      </xdr:nvSpPr>
      <xdr:spPr bwMode="auto">
        <a:xfrm>
          <a:off x="1447800" y="7572375"/>
          <a:ext cx="4667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219075</xdr:colOff>
      <xdr:row>52</xdr:row>
      <xdr:rowOff>238125</xdr:rowOff>
    </xdr:from>
    <xdr:to>
      <xdr:col>11</xdr:col>
      <xdr:colOff>333375</xdr:colOff>
      <xdr:row>52</xdr:row>
      <xdr:rowOff>238125</xdr:rowOff>
    </xdr:to>
    <xdr:sp macro="" textlink="">
      <xdr:nvSpPr>
        <xdr:cNvPr id="62" name="Line 138">
          <a:extLst>
            <a:ext uri="{FF2B5EF4-FFF2-40B4-BE49-F238E27FC236}">
              <a16:creationId xmlns:a16="http://schemas.microsoft.com/office/drawing/2014/main" id="{00000000-0008-0000-0200-00003E000000}"/>
            </a:ext>
          </a:extLst>
        </xdr:cNvPr>
        <xdr:cNvSpPr>
          <a:spLocks noChangeShapeType="1"/>
        </xdr:cNvSpPr>
      </xdr:nvSpPr>
      <xdr:spPr bwMode="auto">
        <a:xfrm>
          <a:off x="5172075" y="7572375"/>
          <a:ext cx="6096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15</xdr:col>
          <xdr:colOff>45720</xdr:colOff>
          <xdr:row>52</xdr:row>
          <xdr:rowOff>106680</xdr:rowOff>
        </xdr:from>
        <xdr:to>
          <xdr:col>20</xdr:col>
          <xdr:colOff>160020</xdr:colOff>
          <xdr:row>53</xdr:row>
          <xdr:rowOff>7620</xdr:rowOff>
        </xdr:to>
        <xdr:sp macro="" textlink="">
          <xdr:nvSpPr>
            <xdr:cNvPr id="7181" name="Picture 139" hidden="1">
              <a:extLst>
                <a:ext uri="{63B3BB69-23CF-44E3-9099-C40C66FF867C}">
                  <a14:compatExt spid="_x0000_s7181"/>
                </a:ext>
                <a:ext uri="{FF2B5EF4-FFF2-40B4-BE49-F238E27FC236}">
                  <a16:creationId xmlns:a16="http://schemas.microsoft.com/office/drawing/2014/main" id="{00000000-0008-0000-0200-00000D1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60960</xdr:colOff>
          <xdr:row>52</xdr:row>
          <xdr:rowOff>106680</xdr:rowOff>
        </xdr:from>
        <xdr:to>
          <xdr:col>13</xdr:col>
          <xdr:colOff>259080</xdr:colOff>
          <xdr:row>53</xdr:row>
          <xdr:rowOff>7620</xdr:rowOff>
        </xdr:to>
        <xdr:sp macro="" textlink="">
          <xdr:nvSpPr>
            <xdr:cNvPr id="7182" name="Picture 163" hidden="1">
              <a:extLst>
                <a:ext uri="{63B3BB69-23CF-44E3-9099-C40C66FF867C}">
                  <a14:compatExt spid="_x0000_s7182"/>
                </a:ext>
                <a:ext uri="{FF2B5EF4-FFF2-40B4-BE49-F238E27FC236}">
                  <a16:creationId xmlns:a16="http://schemas.microsoft.com/office/drawing/2014/main" id="{00000000-0008-0000-0200-00000E1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twoCellAnchor>
    <xdr:from>
      <xdr:col>13</xdr:col>
      <xdr:colOff>38100</xdr:colOff>
      <xdr:row>52</xdr:row>
      <xdr:rowOff>238125</xdr:rowOff>
    </xdr:from>
    <xdr:to>
      <xdr:col>15</xdr:col>
      <xdr:colOff>0</xdr:colOff>
      <xdr:row>52</xdr:row>
      <xdr:rowOff>238125</xdr:rowOff>
    </xdr:to>
    <xdr:sp macro="" textlink="">
      <xdr:nvSpPr>
        <xdr:cNvPr id="65" name="Line 164">
          <a:extLst>
            <a:ext uri="{FF2B5EF4-FFF2-40B4-BE49-F238E27FC236}">
              <a16:creationId xmlns:a16="http://schemas.microsoft.com/office/drawing/2014/main" id="{00000000-0008-0000-0200-000041000000}"/>
            </a:ext>
          </a:extLst>
        </xdr:cNvPr>
        <xdr:cNvSpPr>
          <a:spLocks noChangeShapeType="1"/>
        </xdr:cNvSpPr>
      </xdr:nvSpPr>
      <xdr:spPr bwMode="auto">
        <a:xfrm>
          <a:off x="6477000" y="7572375"/>
          <a:ext cx="9525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228600</xdr:colOff>
      <xdr:row>56</xdr:row>
      <xdr:rowOff>142875</xdr:rowOff>
    </xdr:from>
    <xdr:to>
      <xdr:col>11</xdr:col>
      <xdr:colOff>9525</xdr:colOff>
      <xdr:row>56</xdr:row>
      <xdr:rowOff>142875</xdr:rowOff>
    </xdr:to>
    <xdr:sp macro="" textlink="">
      <xdr:nvSpPr>
        <xdr:cNvPr id="66" name="Line 115">
          <a:extLst>
            <a:ext uri="{FF2B5EF4-FFF2-40B4-BE49-F238E27FC236}">
              <a16:creationId xmlns:a16="http://schemas.microsoft.com/office/drawing/2014/main" id="{00000000-0008-0000-0200-000042000000}"/>
            </a:ext>
          </a:extLst>
        </xdr:cNvPr>
        <xdr:cNvSpPr>
          <a:spLocks noChangeShapeType="1"/>
        </xdr:cNvSpPr>
      </xdr:nvSpPr>
      <xdr:spPr bwMode="auto">
        <a:xfrm>
          <a:off x="4191000" y="8001000"/>
          <a:ext cx="12668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190500</xdr:colOff>
      <xdr:row>56</xdr:row>
      <xdr:rowOff>142875</xdr:rowOff>
    </xdr:from>
    <xdr:to>
      <xdr:col>3</xdr:col>
      <xdr:colOff>85725</xdr:colOff>
      <xdr:row>56</xdr:row>
      <xdr:rowOff>142875</xdr:rowOff>
    </xdr:to>
    <xdr:sp macro="" textlink="">
      <xdr:nvSpPr>
        <xdr:cNvPr id="67" name="Line 116">
          <a:extLst>
            <a:ext uri="{FF2B5EF4-FFF2-40B4-BE49-F238E27FC236}">
              <a16:creationId xmlns:a16="http://schemas.microsoft.com/office/drawing/2014/main" id="{00000000-0008-0000-0200-000043000000}"/>
            </a:ext>
          </a:extLst>
        </xdr:cNvPr>
        <xdr:cNvSpPr>
          <a:spLocks noChangeShapeType="1"/>
        </xdr:cNvSpPr>
      </xdr:nvSpPr>
      <xdr:spPr bwMode="auto">
        <a:xfrm>
          <a:off x="685800" y="8001000"/>
          <a:ext cx="8858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266700</xdr:colOff>
      <xdr:row>56</xdr:row>
      <xdr:rowOff>142875</xdr:rowOff>
    </xdr:from>
    <xdr:to>
      <xdr:col>7</xdr:col>
      <xdr:colOff>219075</xdr:colOff>
      <xdr:row>56</xdr:row>
      <xdr:rowOff>142875</xdr:rowOff>
    </xdr:to>
    <xdr:sp macro="" textlink="">
      <xdr:nvSpPr>
        <xdr:cNvPr id="68" name="Line 117">
          <a:extLst>
            <a:ext uri="{FF2B5EF4-FFF2-40B4-BE49-F238E27FC236}">
              <a16:creationId xmlns:a16="http://schemas.microsoft.com/office/drawing/2014/main" id="{00000000-0008-0000-0200-000044000000}"/>
            </a:ext>
          </a:extLst>
        </xdr:cNvPr>
        <xdr:cNvSpPr>
          <a:spLocks noChangeShapeType="1"/>
        </xdr:cNvSpPr>
      </xdr:nvSpPr>
      <xdr:spPr bwMode="auto">
        <a:xfrm>
          <a:off x="2247900" y="8001000"/>
          <a:ext cx="14382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228600</xdr:colOff>
      <xdr:row>57</xdr:row>
      <xdr:rowOff>142875</xdr:rowOff>
    </xdr:from>
    <xdr:to>
      <xdr:col>11</xdr:col>
      <xdr:colOff>9525</xdr:colOff>
      <xdr:row>57</xdr:row>
      <xdr:rowOff>142875</xdr:rowOff>
    </xdr:to>
    <xdr:sp macro="" textlink="">
      <xdr:nvSpPr>
        <xdr:cNvPr id="69" name="Line 115">
          <a:extLst>
            <a:ext uri="{FF2B5EF4-FFF2-40B4-BE49-F238E27FC236}">
              <a16:creationId xmlns:a16="http://schemas.microsoft.com/office/drawing/2014/main" id="{00000000-0008-0000-0200-000045000000}"/>
            </a:ext>
          </a:extLst>
        </xdr:cNvPr>
        <xdr:cNvSpPr>
          <a:spLocks noChangeShapeType="1"/>
        </xdr:cNvSpPr>
      </xdr:nvSpPr>
      <xdr:spPr bwMode="auto">
        <a:xfrm>
          <a:off x="4191000" y="8143875"/>
          <a:ext cx="12668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190500</xdr:colOff>
      <xdr:row>57</xdr:row>
      <xdr:rowOff>142875</xdr:rowOff>
    </xdr:from>
    <xdr:to>
      <xdr:col>3</xdr:col>
      <xdr:colOff>85725</xdr:colOff>
      <xdr:row>57</xdr:row>
      <xdr:rowOff>142875</xdr:rowOff>
    </xdr:to>
    <xdr:sp macro="" textlink="">
      <xdr:nvSpPr>
        <xdr:cNvPr id="70" name="Line 116">
          <a:extLst>
            <a:ext uri="{FF2B5EF4-FFF2-40B4-BE49-F238E27FC236}">
              <a16:creationId xmlns:a16="http://schemas.microsoft.com/office/drawing/2014/main" id="{00000000-0008-0000-0200-000046000000}"/>
            </a:ext>
          </a:extLst>
        </xdr:cNvPr>
        <xdr:cNvSpPr>
          <a:spLocks noChangeShapeType="1"/>
        </xdr:cNvSpPr>
      </xdr:nvSpPr>
      <xdr:spPr bwMode="auto">
        <a:xfrm>
          <a:off x="685800" y="8143875"/>
          <a:ext cx="8858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266700</xdr:colOff>
      <xdr:row>57</xdr:row>
      <xdr:rowOff>142875</xdr:rowOff>
    </xdr:from>
    <xdr:to>
      <xdr:col>7</xdr:col>
      <xdr:colOff>219075</xdr:colOff>
      <xdr:row>57</xdr:row>
      <xdr:rowOff>142875</xdr:rowOff>
    </xdr:to>
    <xdr:sp macro="" textlink="">
      <xdr:nvSpPr>
        <xdr:cNvPr id="71" name="Line 117">
          <a:extLst>
            <a:ext uri="{FF2B5EF4-FFF2-40B4-BE49-F238E27FC236}">
              <a16:creationId xmlns:a16="http://schemas.microsoft.com/office/drawing/2014/main" id="{00000000-0008-0000-0200-000047000000}"/>
            </a:ext>
          </a:extLst>
        </xdr:cNvPr>
        <xdr:cNvSpPr>
          <a:spLocks noChangeShapeType="1"/>
        </xdr:cNvSpPr>
      </xdr:nvSpPr>
      <xdr:spPr bwMode="auto">
        <a:xfrm>
          <a:off x="2247900" y="8143875"/>
          <a:ext cx="14382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228600</xdr:colOff>
      <xdr:row>58</xdr:row>
      <xdr:rowOff>142875</xdr:rowOff>
    </xdr:from>
    <xdr:to>
      <xdr:col>11</xdr:col>
      <xdr:colOff>9525</xdr:colOff>
      <xdr:row>58</xdr:row>
      <xdr:rowOff>142875</xdr:rowOff>
    </xdr:to>
    <xdr:sp macro="" textlink="">
      <xdr:nvSpPr>
        <xdr:cNvPr id="72" name="Line 115">
          <a:extLst>
            <a:ext uri="{FF2B5EF4-FFF2-40B4-BE49-F238E27FC236}">
              <a16:creationId xmlns:a16="http://schemas.microsoft.com/office/drawing/2014/main" id="{00000000-0008-0000-0200-000048000000}"/>
            </a:ext>
          </a:extLst>
        </xdr:cNvPr>
        <xdr:cNvSpPr>
          <a:spLocks noChangeShapeType="1"/>
        </xdr:cNvSpPr>
      </xdr:nvSpPr>
      <xdr:spPr bwMode="auto">
        <a:xfrm>
          <a:off x="4191000" y="8286750"/>
          <a:ext cx="12668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190500</xdr:colOff>
      <xdr:row>58</xdr:row>
      <xdr:rowOff>142875</xdr:rowOff>
    </xdr:from>
    <xdr:to>
      <xdr:col>3</xdr:col>
      <xdr:colOff>85725</xdr:colOff>
      <xdr:row>58</xdr:row>
      <xdr:rowOff>142875</xdr:rowOff>
    </xdr:to>
    <xdr:sp macro="" textlink="">
      <xdr:nvSpPr>
        <xdr:cNvPr id="73" name="Line 116">
          <a:extLst>
            <a:ext uri="{FF2B5EF4-FFF2-40B4-BE49-F238E27FC236}">
              <a16:creationId xmlns:a16="http://schemas.microsoft.com/office/drawing/2014/main" id="{00000000-0008-0000-0200-000049000000}"/>
            </a:ext>
          </a:extLst>
        </xdr:cNvPr>
        <xdr:cNvSpPr>
          <a:spLocks noChangeShapeType="1"/>
        </xdr:cNvSpPr>
      </xdr:nvSpPr>
      <xdr:spPr bwMode="auto">
        <a:xfrm>
          <a:off x="685800" y="8286750"/>
          <a:ext cx="8858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266700</xdr:colOff>
      <xdr:row>58</xdr:row>
      <xdr:rowOff>142875</xdr:rowOff>
    </xdr:from>
    <xdr:to>
      <xdr:col>7</xdr:col>
      <xdr:colOff>219075</xdr:colOff>
      <xdr:row>58</xdr:row>
      <xdr:rowOff>142875</xdr:rowOff>
    </xdr:to>
    <xdr:sp macro="" textlink="">
      <xdr:nvSpPr>
        <xdr:cNvPr id="74" name="Line 117">
          <a:extLst>
            <a:ext uri="{FF2B5EF4-FFF2-40B4-BE49-F238E27FC236}">
              <a16:creationId xmlns:a16="http://schemas.microsoft.com/office/drawing/2014/main" id="{00000000-0008-0000-0200-00004A000000}"/>
            </a:ext>
          </a:extLst>
        </xdr:cNvPr>
        <xdr:cNvSpPr>
          <a:spLocks noChangeShapeType="1"/>
        </xdr:cNvSpPr>
      </xdr:nvSpPr>
      <xdr:spPr bwMode="auto">
        <a:xfrm>
          <a:off x="2247900" y="8286750"/>
          <a:ext cx="14382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228600</xdr:colOff>
      <xdr:row>59</xdr:row>
      <xdr:rowOff>142875</xdr:rowOff>
    </xdr:from>
    <xdr:to>
      <xdr:col>11</xdr:col>
      <xdr:colOff>9525</xdr:colOff>
      <xdr:row>59</xdr:row>
      <xdr:rowOff>142875</xdr:rowOff>
    </xdr:to>
    <xdr:sp macro="" textlink="">
      <xdr:nvSpPr>
        <xdr:cNvPr id="75" name="Line 115">
          <a:extLst>
            <a:ext uri="{FF2B5EF4-FFF2-40B4-BE49-F238E27FC236}">
              <a16:creationId xmlns:a16="http://schemas.microsoft.com/office/drawing/2014/main" id="{00000000-0008-0000-0200-00004B000000}"/>
            </a:ext>
          </a:extLst>
        </xdr:cNvPr>
        <xdr:cNvSpPr>
          <a:spLocks noChangeShapeType="1"/>
        </xdr:cNvSpPr>
      </xdr:nvSpPr>
      <xdr:spPr bwMode="auto">
        <a:xfrm>
          <a:off x="4191000" y="8429625"/>
          <a:ext cx="12668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190500</xdr:colOff>
      <xdr:row>59</xdr:row>
      <xdr:rowOff>142875</xdr:rowOff>
    </xdr:from>
    <xdr:to>
      <xdr:col>3</xdr:col>
      <xdr:colOff>85725</xdr:colOff>
      <xdr:row>59</xdr:row>
      <xdr:rowOff>142875</xdr:rowOff>
    </xdr:to>
    <xdr:sp macro="" textlink="">
      <xdr:nvSpPr>
        <xdr:cNvPr id="76" name="Line 116">
          <a:extLst>
            <a:ext uri="{FF2B5EF4-FFF2-40B4-BE49-F238E27FC236}">
              <a16:creationId xmlns:a16="http://schemas.microsoft.com/office/drawing/2014/main" id="{00000000-0008-0000-0200-00004C000000}"/>
            </a:ext>
          </a:extLst>
        </xdr:cNvPr>
        <xdr:cNvSpPr>
          <a:spLocks noChangeShapeType="1"/>
        </xdr:cNvSpPr>
      </xdr:nvSpPr>
      <xdr:spPr bwMode="auto">
        <a:xfrm>
          <a:off x="685800" y="8429625"/>
          <a:ext cx="8858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266700</xdr:colOff>
      <xdr:row>59</xdr:row>
      <xdr:rowOff>142875</xdr:rowOff>
    </xdr:from>
    <xdr:to>
      <xdr:col>7</xdr:col>
      <xdr:colOff>219075</xdr:colOff>
      <xdr:row>59</xdr:row>
      <xdr:rowOff>142875</xdr:rowOff>
    </xdr:to>
    <xdr:sp macro="" textlink="">
      <xdr:nvSpPr>
        <xdr:cNvPr id="77" name="Line 117">
          <a:extLst>
            <a:ext uri="{FF2B5EF4-FFF2-40B4-BE49-F238E27FC236}">
              <a16:creationId xmlns:a16="http://schemas.microsoft.com/office/drawing/2014/main" id="{00000000-0008-0000-0200-00004D000000}"/>
            </a:ext>
          </a:extLst>
        </xdr:cNvPr>
        <xdr:cNvSpPr>
          <a:spLocks noChangeShapeType="1"/>
        </xdr:cNvSpPr>
      </xdr:nvSpPr>
      <xdr:spPr bwMode="auto">
        <a:xfrm>
          <a:off x="2247900" y="8429625"/>
          <a:ext cx="14382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152400</xdr:colOff>
      <xdr:row>28</xdr:row>
      <xdr:rowOff>9525</xdr:rowOff>
    </xdr:from>
    <xdr:to>
      <xdr:col>21</xdr:col>
      <xdr:colOff>257175</xdr:colOff>
      <xdr:row>28</xdr:row>
      <xdr:rowOff>9525</xdr:rowOff>
    </xdr:to>
    <xdr:sp macro="" textlink="">
      <xdr:nvSpPr>
        <xdr:cNvPr id="78" name="Line 86">
          <a:extLst>
            <a:ext uri="{FF2B5EF4-FFF2-40B4-BE49-F238E27FC236}">
              <a16:creationId xmlns:a16="http://schemas.microsoft.com/office/drawing/2014/main" id="{00000000-0008-0000-0200-00004E000000}"/>
            </a:ext>
          </a:extLst>
        </xdr:cNvPr>
        <xdr:cNvSpPr>
          <a:spLocks noChangeShapeType="1"/>
        </xdr:cNvSpPr>
      </xdr:nvSpPr>
      <xdr:spPr bwMode="auto">
        <a:xfrm>
          <a:off x="647700" y="4010025"/>
          <a:ext cx="100107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152400</xdr:colOff>
      <xdr:row>28</xdr:row>
      <xdr:rowOff>9525</xdr:rowOff>
    </xdr:from>
    <xdr:to>
      <xdr:col>21</xdr:col>
      <xdr:colOff>257175</xdr:colOff>
      <xdr:row>28</xdr:row>
      <xdr:rowOff>9525</xdr:rowOff>
    </xdr:to>
    <xdr:sp macro="" textlink="">
      <xdr:nvSpPr>
        <xdr:cNvPr id="79" name="Line 86">
          <a:extLst>
            <a:ext uri="{FF2B5EF4-FFF2-40B4-BE49-F238E27FC236}">
              <a16:creationId xmlns:a16="http://schemas.microsoft.com/office/drawing/2014/main" id="{00000000-0008-0000-0200-00004F000000}"/>
            </a:ext>
          </a:extLst>
        </xdr:cNvPr>
        <xdr:cNvSpPr>
          <a:spLocks noChangeShapeType="1"/>
        </xdr:cNvSpPr>
      </xdr:nvSpPr>
      <xdr:spPr bwMode="auto">
        <a:xfrm>
          <a:off x="647700" y="4010025"/>
          <a:ext cx="100107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152400</xdr:colOff>
      <xdr:row>29</xdr:row>
      <xdr:rowOff>9525</xdr:rowOff>
    </xdr:from>
    <xdr:to>
      <xdr:col>21</xdr:col>
      <xdr:colOff>257175</xdr:colOff>
      <xdr:row>29</xdr:row>
      <xdr:rowOff>9525</xdr:rowOff>
    </xdr:to>
    <xdr:sp macro="" textlink="">
      <xdr:nvSpPr>
        <xdr:cNvPr id="80" name="Line 86">
          <a:extLst>
            <a:ext uri="{FF2B5EF4-FFF2-40B4-BE49-F238E27FC236}">
              <a16:creationId xmlns:a16="http://schemas.microsoft.com/office/drawing/2014/main" id="{00000000-0008-0000-0200-000050000000}"/>
            </a:ext>
          </a:extLst>
        </xdr:cNvPr>
        <xdr:cNvSpPr>
          <a:spLocks noChangeShapeType="1"/>
        </xdr:cNvSpPr>
      </xdr:nvSpPr>
      <xdr:spPr bwMode="auto">
        <a:xfrm>
          <a:off x="647700" y="4152900"/>
          <a:ext cx="100107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152400</xdr:colOff>
      <xdr:row>29</xdr:row>
      <xdr:rowOff>9525</xdr:rowOff>
    </xdr:from>
    <xdr:to>
      <xdr:col>21</xdr:col>
      <xdr:colOff>257175</xdr:colOff>
      <xdr:row>29</xdr:row>
      <xdr:rowOff>9525</xdr:rowOff>
    </xdr:to>
    <xdr:sp macro="" textlink="">
      <xdr:nvSpPr>
        <xdr:cNvPr id="81" name="Line 86">
          <a:extLst>
            <a:ext uri="{FF2B5EF4-FFF2-40B4-BE49-F238E27FC236}">
              <a16:creationId xmlns:a16="http://schemas.microsoft.com/office/drawing/2014/main" id="{00000000-0008-0000-0200-000051000000}"/>
            </a:ext>
          </a:extLst>
        </xdr:cNvPr>
        <xdr:cNvSpPr>
          <a:spLocks noChangeShapeType="1"/>
        </xdr:cNvSpPr>
      </xdr:nvSpPr>
      <xdr:spPr bwMode="auto">
        <a:xfrm>
          <a:off x="647700" y="4152900"/>
          <a:ext cx="100107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152400</xdr:colOff>
      <xdr:row>30</xdr:row>
      <xdr:rowOff>9525</xdr:rowOff>
    </xdr:from>
    <xdr:to>
      <xdr:col>21</xdr:col>
      <xdr:colOff>257175</xdr:colOff>
      <xdr:row>30</xdr:row>
      <xdr:rowOff>9525</xdr:rowOff>
    </xdr:to>
    <xdr:sp macro="" textlink="">
      <xdr:nvSpPr>
        <xdr:cNvPr id="82" name="Line 86">
          <a:extLst>
            <a:ext uri="{FF2B5EF4-FFF2-40B4-BE49-F238E27FC236}">
              <a16:creationId xmlns:a16="http://schemas.microsoft.com/office/drawing/2014/main" id="{00000000-0008-0000-0200-000052000000}"/>
            </a:ext>
          </a:extLst>
        </xdr:cNvPr>
        <xdr:cNvSpPr>
          <a:spLocks noChangeShapeType="1"/>
        </xdr:cNvSpPr>
      </xdr:nvSpPr>
      <xdr:spPr bwMode="auto">
        <a:xfrm>
          <a:off x="438150" y="4762500"/>
          <a:ext cx="70675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oneCellAnchor>
    <xdr:from>
      <xdr:col>22</xdr:col>
      <xdr:colOff>304800</xdr:colOff>
      <xdr:row>36</xdr:row>
      <xdr:rowOff>19050</xdr:rowOff>
    </xdr:from>
    <xdr:ext cx="2971800" cy="3152775"/>
    <xdr:pic>
      <xdr:nvPicPr>
        <xdr:cNvPr id="83" name="Picture 1">
          <a:extLst>
            <a:ext uri="{FF2B5EF4-FFF2-40B4-BE49-F238E27FC236}">
              <a16:creationId xmlns:a16="http://schemas.microsoft.com/office/drawing/2014/main" id="{00000000-0008-0000-0200-000053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201400" y="5162550"/>
          <a:ext cx="2971800" cy="3152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xdr:col>
      <xdr:colOff>190500</xdr:colOff>
      <xdr:row>56</xdr:row>
      <xdr:rowOff>142875</xdr:rowOff>
    </xdr:from>
    <xdr:to>
      <xdr:col>3</xdr:col>
      <xdr:colOff>85725</xdr:colOff>
      <xdr:row>56</xdr:row>
      <xdr:rowOff>142875</xdr:rowOff>
    </xdr:to>
    <xdr:sp macro="" textlink="">
      <xdr:nvSpPr>
        <xdr:cNvPr id="84" name="Line 116">
          <a:extLst>
            <a:ext uri="{FF2B5EF4-FFF2-40B4-BE49-F238E27FC236}">
              <a16:creationId xmlns:a16="http://schemas.microsoft.com/office/drawing/2014/main" id="{00000000-0008-0000-0200-000054000000}"/>
            </a:ext>
          </a:extLst>
        </xdr:cNvPr>
        <xdr:cNvSpPr>
          <a:spLocks noChangeShapeType="1"/>
        </xdr:cNvSpPr>
      </xdr:nvSpPr>
      <xdr:spPr bwMode="auto">
        <a:xfrm>
          <a:off x="685800" y="8001000"/>
          <a:ext cx="8858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266700</xdr:colOff>
      <xdr:row>56</xdr:row>
      <xdr:rowOff>142875</xdr:rowOff>
    </xdr:from>
    <xdr:to>
      <xdr:col>7</xdr:col>
      <xdr:colOff>219075</xdr:colOff>
      <xdr:row>56</xdr:row>
      <xdr:rowOff>142875</xdr:rowOff>
    </xdr:to>
    <xdr:sp macro="" textlink="">
      <xdr:nvSpPr>
        <xdr:cNvPr id="85" name="Line 117">
          <a:extLst>
            <a:ext uri="{FF2B5EF4-FFF2-40B4-BE49-F238E27FC236}">
              <a16:creationId xmlns:a16="http://schemas.microsoft.com/office/drawing/2014/main" id="{00000000-0008-0000-0200-000055000000}"/>
            </a:ext>
          </a:extLst>
        </xdr:cNvPr>
        <xdr:cNvSpPr>
          <a:spLocks noChangeShapeType="1"/>
        </xdr:cNvSpPr>
      </xdr:nvSpPr>
      <xdr:spPr bwMode="auto">
        <a:xfrm>
          <a:off x="2247900" y="8001000"/>
          <a:ext cx="14382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219075</xdr:colOff>
      <xdr:row>52</xdr:row>
      <xdr:rowOff>238125</xdr:rowOff>
    </xdr:from>
    <xdr:to>
      <xdr:col>11</xdr:col>
      <xdr:colOff>333375</xdr:colOff>
      <xdr:row>52</xdr:row>
      <xdr:rowOff>238125</xdr:rowOff>
    </xdr:to>
    <xdr:sp macro="" textlink="">
      <xdr:nvSpPr>
        <xdr:cNvPr id="86" name="Line 138">
          <a:extLst>
            <a:ext uri="{FF2B5EF4-FFF2-40B4-BE49-F238E27FC236}">
              <a16:creationId xmlns:a16="http://schemas.microsoft.com/office/drawing/2014/main" id="{00000000-0008-0000-0200-000056000000}"/>
            </a:ext>
          </a:extLst>
        </xdr:cNvPr>
        <xdr:cNvSpPr>
          <a:spLocks noChangeShapeType="1"/>
        </xdr:cNvSpPr>
      </xdr:nvSpPr>
      <xdr:spPr bwMode="auto">
        <a:xfrm>
          <a:off x="5172075" y="7572375"/>
          <a:ext cx="6096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228600</xdr:colOff>
      <xdr:row>58</xdr:row>
      <xdr:rowOff>142875</xdr:rowOff>
    </xdr:from>
    <xdr:to>
      <xdr:col>11</xdr:col>
      <xdr:colOff>9525</xdr:colOff>
      <xdr:row>58</xdr:row>
      <xdr:rowOff>142875</xdr:rowOff>
    </xdr:to>
    <xdr:sp macro="" textlink="">
      <xdr:nvSpPr>
        <xdr:cNvPr id="87" name="Line 115">
          <a:extLst>
            <a:ext uri="{FF2B5EF4-FFF2-40B4-BE49-F238E27FC236}">
              <a16:creationId xmlns:a16="http://schemas.microsoft.com/office/drawing/2014/main" id="{00000000-0008-0000-0200-000057000000}"/>
            </a:ext>
          </a:extLst>
        </xdr:cNvPr>
        <xdr:cNvSpPr>
          <a:spLocks noChangeShapeType="1"/>
        </xdr:cNvSpPr>
      </xdr:nvSpPr>
      <xdr:spPr bwMode="auto">
        <a:xfrm>
          <a:off x="4191000" y="8286750"/>
          <a:ext cx="12668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190500</xdr:colOff>
      <xdr:row>58</xdr:row>
      <xdr:rowOff>142875</xdr:rowOff>
    </xdr:from>
    <xdr:to>
      <xdr:col>3</xdr:col>
      <xdr:colOff>85725</xdr:colOff>
      <xdr:row>58</xdr:row>
      <xdr:rowOff>142875</xdr:rowOff>
    </xdr:to>
    <xdr:sp macro="" textlink="">
      <xdr:nvSpPr>
        <xdr:cNvPr id="88" name="Line 116">
          <a:extLst>
            <a:ext uri="{FF2B5EF4-FFF2-40B4-BE49-F238E27FC236}">
              <a16:creationId xmlns:a16="http://schemas.microsoft.com/office/drawing/2014/main" id="{00000000-0008-0000-0200-000058000000}"/>
            </a:ext>
          </a:extLst>
        </xdr:cNvPr>
        <xdr:cNvSpPr>
          <a:spLocks noChangeShapeType="1"/>
        </xdr:cNvSpPr>
      </xdr:nvSpPr>
      <xdr:spPr bwMode="auto">
        <a:xfrm>
          <a:off x="685800" y="8286750"/>
          <a:ext cx="8858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266700</xdr:colOff>
      <xdr:row>58</xdr:row>
      <xdr:rowOff>142875</xdr:rowOff>
    </xdr:from>
    <xdr:to>
      <xdr:col>7</xdr:col>
      <xdr:colOff>219075</xdr:colOff>
      <xdr:row>58</xdr:row>
      <xdr:rowOff>142875</xdr:rowOff>
    </xdr:to>
    <xdr:sp macro="" textlink="">
      <xdr:nvSpPr>
        <xdr:cNvPr id="89" name="Line 117">
          <a:extLst>
            <a:ext uri="{FF2B5EF4-FFF2-40B4-BE49-F238E27FC236}">
              <a16:creationId xmlns:a16="http://schemas.microsoft.com/office/drawing/2014/main" id="{00000000-0008-0000-0200-000059000000}"/>
            </a:ext>
          </a:extLst>
        </xdr:cNvPr>
        <xdr:cNvSpPr>
          <a:spLocks noChangeShapeType="1"/>
        </xdr:cNvSpPr>
      </xdr:nvSpPr>
      <xdr:spPr bwMode="auto">
        <a:xfrm>
          <a:off x="2247900" y="8286750"/>
          <a:ext cx="14382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15</xdr:col>
          <xdr:colOff>45720</xdr:colOff>
          <xdr:row>52</xdr:row>
          <xdr:rowOff>106680</xdr:rowOff>
        </xdr:from>
        <xdr:to>
          <xdr:col>20</xdr:col>
          <xdr:colOff>144780</xdr:colOff>
          <xdr:row>53</xdr:row>
          <xdr:rowOff>7620</xdr:rowOff>
        </xdr:to>
        <xdr:sp macro="" textlink="">
          <xdr:nvSpPr>
            <xdr:cNvPr id="7183" name="Picture 139" hidden="1">
              <a:extLst>
                <a:ext uri="{63B3BB69-23CF-44E3-9099-C40C66FF867C}">
                  <a14:compatExt spid="_x0000_s7183"/>
                </a:ext>
                <a:ext uri="{FF2B5EF4-FFF2-40B4-BE49-F238E27FC236}">
                  <a16:creationId xmlns:a16="http://schemas.microsoft.com/office/drawing/2014/main" id="{00000000-0008-0000-0200-00000F1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60960</xdr:colOff>
          <xdr:row>52</xdr:row>
          <xdr:rowOff>106680</xdr:rowOff>
        </xdr:from>
        <xdr:to>
          <xdr:col>13</xdr:col>
          <xdr:colOff>251460</xdr:colOff>
          <xdr:row>53</xdr:row>
          <xdr:rowOff>7620</xdr:rowOff>
        </xdr:to>
        <xdr:sp macro="" textlink="">
          <xdr:nvSpPr>
            <xdr:cNvPr id="7184" name="Picture 163" hidden="1">
              <a:extLst>
                <a:ext uri="{63B3BB69-23CF-44E3-9099-C40C66FF867C}">
                  <a14:compatExt spid="_x0000_s7184"/>
                </a:ext>
                <a:ext uri="{FF2B5EF4-FFF2-40B4-BE49-F238E27FC236}">
                  <a16:creationId xmlns:a16="http://schemas.microsoft.com/office/drawing/2014/main" id="{00000000-0008-0000-0200-0000101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twoCellAnchor>
    <xdr:from>
      <xdr:col>4</xdr:col>
      <xdr:colOff>219075</xdr:colOff>
      <xdr:row>53</xdr:row>
      <xdr:rowOff>238125</xdr:rowOff>
    </xdr:from>
    <xdr:to>
      <xdr:col>5</xdr:col>
      <xdr:colOff>323850</xdr:colOff>
      <xdr:row>53</xdr:row>
      <xdr:rowOff>238125</xdr:rowOff>
    </xdr:to>
    <xdr:sp macro="" textlink="">
      <xdr:nvSpPr>
        <xdr:cNvPr id="92" name="Line 136">
          <a:extLst>
            <a:ext uri="{FF2B5EF4-FFF2-40B4-BE49-F238E27FC236}">
              <a16:creationId xmlns:a16="http://schemas.microsoft.com/office/drawing/2014/main" id="{00000000-0008-0000-0200-00005C000000}"/>
            </a:ext>
          </a:extLst>
        </xdr:cNvPr>
        <xdr:cNvSpPr>
          <a:spLocks noChangeShapeType="1"/>
        </xdr:cNvSpPr>
      </xdr:nvSpPr>
      <xdr:spPr bwMode="auto">
        <a:xfrm>
          <a:off x="2000250" y="9305925"/>
          <a:ext cx="4476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457200</xdr:colOff>
      <xdr:row>53</xdr:row>
      <xdr:rowOff>238125</xdr:rowOff>
    </xdr:from>
    <xdr:to>
      <xdr:col>3</xdr:col>
      <xdr:colOff>428625</xdr:colOff>
      <xdr:row>53</xdr:row>
      <xdr:rowOff>238125</xdr:rowOff>
    </xdr:to>
    <xdr:sp macro="" textlink="">
      <xdr:nvSpPr>
        <xdr:cNvPr id="93" name="Line 137">
          <a:extLst>
            <a:ext uri="{FF2B5EF4-FFF2-40B4-BE49-F238E27FC236}">
              <a16:creationId xmlns:a16="http://schemas.microsoft.com/office/drawing/2014/main" id="{00000000-0008-0000-0200-00005D000000}"/>
            </a:ext>
          </a:extLst>
        </xdr:cNvPr>
        <xdr:cNvSpPr>
          <a:spLocks noChangeShapeType="1"/>
        </xdr:cNvSpPr>
      </xdr:nvSpPr>
      <xdr:spPr bwMode="auto">
        <a:xfrm>
          <a:off x="1038225" y="9305925"/>
          <a:ext cx="733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219075</xdr:colOff>
      <xdr:row>53</xdr:row>
      <xdr:rowOff>238125</xdr:rowOff>
    </xdr:from>
    <xdr:to>
      <xdr:col>11</xdr:col>
      <xdr:colOff>333375</xdr:colOff>
      <xdr:row>53</xdr:row>
      <xdr:rowOff>238125</xdr:rowOff>
    </xdr:to>
    <xdr:sp macro="" textlink="">
      <xdr:nvSpPr>
        <xdr:cNvPr id="94" name="Line 138">
          <a:extLst>
            <a:ext uri="{FF2B5EF4-FFF2-40B4-BE49-F238E27FC236}">
              <a16:creationId xmlns:a16="http://schemas.microsoft.com/office/drawing/2014/main" id="{00000000-0008-0000-0200-00005E000000}"/>
            </a:ext>
          </a:extLst>
        </xdr:cNvPr>
        <xdr:cNvSpPr>
          <a:spLocks noChangeShapeType="1"/>
        </xdr:cNvSpPr>
      </xdr:nvSpPr>
      <xdr:spPr bwMode="auto">
        <a:xfrm>
          <a:off x="3933825" y="9305925"/>
          <a:ext cx="4857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15</xdr:col>
          <xdr:colOff>45720</xdr:colOff>
          <xdr:row>53</xdr:row>
          <xdr:rowOff>106680</xdr:rowOff>
        </xdr:from>
        <xdr:to>
          <xdr:col>20</xdr:col>
          <xdr:colOff>175260</xdr:colOff>
          <xdr:row>54</xdr:row>
          <xdr:rowOff>7620</xdr:rowOff>
        </xdr:to>
        <xdr:sp macro="" textlink="">
          <xdr:nvSpPr>
            <xdr:cNvPr id="7185" name="Picture 139" hidden="1">
              <a:extLst>
                <a:ext uri="{63B3BB69-23CF-44E3-9099-C40C66FF867C}">
                  <a14:compatExt spid="_x0000_s7185"/>
                </a:ext>
                <a:ext uri="{FF2B5EF4-FFF2-40B4-BE49-F238E27FC236}">
                  <a16:creationId xmlns:a16="http://schemas.microsoft.com/office/drawing/2014/main" id="{00000000-0008-0000-0200-0000111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60960</xdr:colOff>
          <xdr:row>53</xdr:row>
          <xdr:rowOff>106680</xdr:rowOff>
        </xdr:from>
        <xdr:to>
          <xdr:col>13</xdr:col>
          <xdr:colOff>259080</xdr:colOff>
          <xdr:row>54</xdr:row>
          <xdr:rowOff>7620</xdr:rowOff>
        </xdr:to>
        <xdr:sp macro="" textlink="">
          <xdr:nvSpPr>
            <xdr:cNvPr id="7186" name="Picture 163" hidden="1">
              <a:extLst>
                <a:ext uri="{63B3BB69-23CF-44E3-9099-C40C66FF867C}">
                  <a14:compatExt spid="_x0000_s7186"/>
                </a:ext>
                <a:ext uri="{FF2B5EF4-FFF2-40B4-BE49-F238E27FC236}">
                  <a16:creationId xmlns:a16="http://schemas.microsoft.com/office/drawing/2014/main" id="{00000000-0008-0000-0200-0000121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twoCellAnchor>
    <xdr:from>
      <xdr:col>13</xdr:col>
      <xdr:colOff>38100</xdr:colOff>
      <xdr:row>53</xdr:row>
      <xdr:rowOff>238125</xdr:rowOff>
    </xdr:from>
    <xdr:to>
      <xdr:col>15</xdr:col>
      <xdr:colOff>0</xdr:colOff>
      <xdr:row>53</xdr:row>
      <xdr:rowOff>238125</xdr:rowOff>
    </xdr:to>
    <xdr:sp macro="" textlink="">
      <xdr:nvSpPr>
        <xdr:cNvPr id="97" name="Line 164">
          <a:extLst>
            <a:ext uri="{FF2B5EF4-FFF2-40B4-BE49-F238E27FC236}">
              <a16:creationId xmlns:a16="http://schemas.microsoft.com/office/drawing/2014/main" id="{00000000-0008-0000-0200-000061000000}"/>
            </a:ext>
          </a:extLst>
        </xdr:cNvPr>
        <xdr:cNvSpPr>
          <a:spLocks noChangeShapeType="1"/>
        </xdr:cNvSpPr>
      </xdr:nvSpPr>
      <xdr:spPr bwMode="auto">
        <a:xfrm>
          <a:off x="4714875" y="9305925"/>
          <a:ext cx="514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219075</xdr:colOff>
      <xdr:row>53</xdr:row>
      <xdr:rowOff>238125</xdr:rowOff>
    </xdr:from>
    <xdr:to>
      <xdr:col>11</xdr:col>
      <xdr:colOff>333375</xdr:colOff>
      <xdr:row>53</xdr:row>
      <xdr:rowOff>238125</xdr:rowOff>
    </xdr:to>
    <xdr:sp macro="" textlink="">
      <xdr:nvSpPr>
        <xdr:cNvPr id="98" name="Line 138">
          <a:extLst>
            <a:ext uri="{FF2B5EF4-FFF2-40B4-BE49-F238E27FC236}">
              <a16:creationId xmlns:a16="http://schemas.microsoft.com/office/drawing/2014/main" id="{00000000-0008-0000-0200-000062000000}"/>
            </a:ext>
          </a:extLst>
        </xdr:cNvPr>
        <xdr:cNvSpPr>
          <a:spLocks noChangeShapeType="1"/>
        </xdr:cNvSpPr>
      </xdr:nvSpPr>
      <xdr:spPr bwMode="auto">
        <a:xfrm>
          <a:off x="3933825" y="9305925"/>
          <a:ext cx="4857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876300</xdr:colOff>
      <xdr:row>0</xdr:row>
      <xdr:rowOff>561975</xdr:rowOff>
    </xdr:to>
    <xdr:pic>
      <xdr:nvPicPr>
        <xdr:cNvPr id="2" name="irc_mi" descr="http://www.energydigital.com/sectors/anadarkopetroleumcorporationgoodmorningcolombia_0.jpg">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2609850" cy="561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121920</xdr:colOff>
          <xdr:row>41</xdr:row>
          <xdr:rowOff>99060</xdr:rowOff>
        </xdr:from>
        <xdr:to>
          <xdr:col>12</xdr:col>
          <xdr:colOff>1722120</xdr:colOff>
          <xdr:row>43</xdr:row>
          <xdr:rowOff>106680</xdr:rowOff>
        </xdr:to>
        <xdr:sp macro="" textlink="">
          <xdr:nvSpPr>
            <xdr:cNvPr id="12297" name="Button 9" hidden="1">
              <a:extLst>
                <a:ext uri="{63B3BB69-23CF-44E3-9099-C40C66FF867C}">
                  <a14:compatExt spid="_x0000_s12297"/>
                </a:ext>
                <a:ext uri="{FF2B5EF4-FFF2-40B4-BE49-F238E27FC236}">
                  <a16:creationId xmlns:a16="http://schemas.microsoft.com/office/drawing/2014/main" id="{00000000-0008-0000-0700-000009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Get Pump Schedule</a:t>
              </a:r>
            </a:p>
            <a:p>
              <a:pPr algn="ctr" rtl="0">
                <a:defRPr sz="1000"/>
              </a:pPr>
              <a:r>
                <a:rPr lang="en-US" sz="1100" b="0" i="0" u="none" strike="noStrike" baseline="0">
                  <a:solidFill>
                    <a:srgbClr val="000000"/>
                  </a:solidFill>
                  <a:latin typeface="Calibri"/>
                  <a:cs typeface="Calibri"/>
                </a:rPr>
                <a:t>for the Info Below</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3" Type="http://schemas.openxmlformats.org/officeDocument/2006/relationships/image" Target="../media/image5.emf"/><Relationship Id="rId18" Type="http://schemas.openxmlformats.org/officeDocument/2006/relationships/oleObject" Target="../embeddings/Microsoft_Word_97_-_2003_Document7.doc"/><Relationship Id="rId26" Type="http://schemas.openxmlformats.org/officeDocument/2006/relationships/oleObject" Target="../embeddings/Microsoft_Word_97_-_2003_Document12.doc"/><Relationship Id="rId21" Type="http://schemas.openxmlformats.org/officeDocument/2006/relationships/image" Target="../media/image9.emf"/><Relationship Id="rId34" Type="http://schemas.openxmlformats.org/officeDocument/2006/relationships/oleObject" Target="../embeddings/Microsoft_Word_97_-_2003_Document16.doc"/><Relationship Id="rId7" Type="http://schemas.openxmlformats.org/officeDocument/2006/relationships/image" Target="../media/image2.emf"/><Relationship Id="rId12" Type="http://schemas.openxmlformats.org/officeDocument/2006/relationships/oleObject" Target="../embeddings/Microsoft_Word_97_-_2003_Document4.doc"/><Relationship Id="rId17" Type="http://schemas.openxmlformats.org/officeDocument/2006/relationships/image" Target="../media/image7.emf"/><Relationship Id="rId25" Type="http://schemas.openxmlformats.org/officeDocument/2006/relationships/oleObject" Target="../embeddings/Microsoft_Word_97_-_2003_Document11.doc"/><Relationship Id="rId33" Type="http://schemas.openxmlformats.org/officeDocument/2006/relationships/image" Target="../media/image14.emf"/><Relationship Id="rId2" Type="http://schemas.openxmlformats.org/officeDocument/2006/relationships/drawing" Target="../drawings/drawing2.xml"/><Relationship Id="rId16" Type="http://schemas.openxmlformats.org/officeDocument/2006/relationships/oleObject" Target="../embeddings/Microsoft_Word_97_-_2003_Document6.doc"/><Relationship Id="rId20" Type="http://schemas.openxmlformats.org/officeDocument/2006/relationships/oleObject" Target="../embeddings/Microsoft_Word_97_-_2003_Document8.doc"/><Relationship Id="rId29" Type="http://schemas.openxmlformats.org/officeDocument/2006/relationships/image" Target="../media/image12.emf"/><Relationship Id="rId1" Type="http://schemas.openxmlformats.org/officeDocument/2006/relationships/printerSettings" Target="../printerSettings/printerSettings3.bin"/><Relationship Id="rId6" Type="http://schemas.openxmlformats.org/officeDocument/2006/relationships/oleObject" Target="../embeddings/Microsoft_Word_97_-_2003_Document1.doc"/><Relationship Id="rId11" Type="http://schemas.openxmlformats.org/officeDocument/2006/relationships/image" Target="../media/image4.emf"/><Relationship Id="rId24" Type="http://schemas.openxmlformats.org/officeDocument/2006/relationships/oleObject" Target="../embeddings/Microsoft_Word_97_-_2003_Document10.doc"/><Relationship Id="rId32" Type="http://schemas.openxmlformats.org/officeDocument/2006/relationships/oleObject" Target="../embeddings/Microsoft_Word_97_-_2003_Document15.doc"/><Relationship Id="rId37" Type="http://schemas.openxmlformats.org/officeDocument/2006/relationships/image" Target="../media/image16.emf"/><Relationship Id="rId5" Type="http://schemas.openxmlformats.org/officeDocument/2006/relationships/image" Target="../media/image1.emf"/><Relationship Id="rId15" Type="http://schemas.openxmlformats.org/officeDocument/2006/relationships/image" Target="../media/image6.emf"/><Relationship Id="rId23" Type="http://schemas.openxmlformats.org/officeDocument/2006/relationships/image" Target="../media/image10.emf"/><Relationship Id="rId28" Type="http://schemas.openxmlformats.org/officeDocument/2006/relationships/oleObject" Target="../embeddings/Microsoft_Word_97_-_2003_Document13.doc"/><Relationship Id="rId36" Type="http://schemas.openxmlformats.org/officeDocument/2006/relationships/oleObject" Target="../embeddings/Microsoft_Word_97_-_2003_Document17.doc"/><Relationship Id="rId10" Type="http://schemas.openxmlformats.org/officeDocument/2006/relationships/oleObject" Target="../embeddings/Microsoft_Word_97_-_2003_Document3.doc"/><Relationship Id="rId19" Type="http://schemas.openxmlformats.org/officeDocument/2006/relationships/image" Target="../media/image8.emf"/><Relationship Id="rId31" Type="http://schemas.openxmlformats.org/officeDocument/2006/relationships/image" Target="../media/image13.emf"/><Relationship Id="rId4" Type="http://schemas.openxmlformats.org/officeDocument/2006/relationships/oleObject" Target="../embeddings/Microsoft_Word_97_-_2003_Document.doc"/><Relationship Id="rId9" Type="http://schemas.openxmlformats.org/officeDocument/2006/relationships/image" Target="../media/image3.emf"/><Relationship Id="rId14" Type="http://schemas.openxmlformats.org/officeDocument/2006/relationships/oleObject" Target="../embeddings/Microsoft_Word_97_-_2003_Document5.doc"/><Relationship Id="rId22" Type="http://schemas.openxmlformats.org/officeDocument/2006/relationships/oleObject" Target="../embeddings/Microsoft_Word_97_-_2003_Document9.doc"/><Relationship Id="rId27" Type="http://schemas.openxmlformats.org/officeDocument/2006/relationships/image" Target="../media/image11.emf"/><Relationship Id="rId30" Type="http://schemas.openxmlformats.org/officeDocument/2006/relationships/oleObject" Target="../embeddings/Microsoft_Word_97_-_2003_Document14.doc"/><Relationship Id="rId35" Type="http://schemas.openxmlformats.org/officeDocument/2006/relationships/image" Target="../media/image15.emf"/><Relationship Id="rId8" Type="http://schemas.openxmlformats.org/officeDocument/2006/relationships/oleObject" Target="../embeddings/Microsoft_Word_97_-_2003_Document2.doc"/><Relationship Id="rId3"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7.bin"/><Relationship Id="rId4" Type="http://schemas.openxmlformats.org/officeDocument/2006/relationships/ctrlProp" Target="../ctrlProps/ctrlProp2.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9" tint="-0.249977111117893"/>
    <pageSetUpPr fitToPage="1"/>
  </sheetPr>
  <dimension ref="A1:Q59"/>
  <sheetViews>
    <sheetView tabSelected="1" topLeftCell="A4" zoomScale="115" zoomScaleNormal="115" workbookViewId="0">
      <selection activeCell="T47" sqref="T47"/>
    </sheetView>
  </sheetViews>
  <sheetFormatPr defaultColWidth="9.109375" defaultRowHeight="14.4"/>
  <cols>
    <col min="1" max="1" width="9.109375" style="111"/>
    <col min="2" max="2" width="16.5546875" style="111" customWidth="1"/>
    <col min="3" max="3" width="25" style="111" customWidth="1"/>
    <col min="4" max="4" width="8.6640625" style="111" customWidth="1"/>
    <col min="5" max="5" width="1.6640625" style="111" customWidth="1"/>
    <col min="6" max="7" width="2.109375" style="111" customWidth="1"/>
    <col min="8" max="8" width="1.6640625" style="111" customWidth="1"/>
    <col min="9" max="9" width="5" style="111" customWidth="1"/>
    <col min="10" max="10" width="1.6640625" style="111" customWidth="1"/>
    <col min="11" max="11" width="2.33203125" style="111" customWidth="1"/>
    <col min="12" max="12" width="2.109375" style="111" customWidth="1"/>
    <col min="13" max="13" width="1.6640625" style="111" customWidth="1"/>
    <col min="14" max="14" width="8.6640625" style="111" customWidth="1"/>
    <col min="15" max="15" width="19.44140625" style="111" customWidth="1"/>
    <col min="16" max="16" width="9.109375" style="111"/>
    <col min="17" max="17" width="10.6640625" style="111" bestFit="1" customWidth="1"/>
    <col min="18" max="16384" width="9.109375" style="111"/>
  </cols>
  <sheetData>
    <row r="1" spans="1:17" s="102" customFormat="1" ht="15" customHeight="1">
      <c r="A1" s="99"/>
      <c r="B1" s="100" t="s">
        <v>42</v>
      </c>
      <c r="C1" s="101" t="s">
        <v>673</v>
      </c>
      <c r="D1" s="593" t="s">
        <v>43</v>
      </c>
      <c r="E1" s="593"/>
      <c r="F1" s="593"/>
      <c r="G1" s="593"/>
      <c r="H1" s="593">
        <v>4954</v>
      </c>
      <c r="I1" s="593"/>
      <c r="J1" s="101"/>
      <c r="K1" s="101"/>
      <c r="L1" s="101"/>
      <c r="M1" s="101"/>
      <c r="N1" s="101" t="s">
        <v>44</v>
      </c>
      <c r="O1" s="474" t="s">
        <v>678</v>
      </c>
      <c r="P1" s="99"/>
      <c r="Q1" s="99"/>
    </row>
    <row r="2" spans="1:17" s="102" customFormat="1">
      <c r="A2" s="99"/>
      <c r="B2" s="103" t="s">
        <v>45</v>
      </c>
      <c r="C2" s="104" t="s">
        <v>674</v>
      </c>
      <c r="D2" s="594" t="s">
        <v>46</v>
      </c>
      <c r="E2" s="594"/>
      <c r="F2" s="594"/>
      <c r="G2" s="594"/>
      <c r="H2" s="594">
        <v>4974</v>
      </c>
      <c r="I2" s="594"/>
      <c r="J2" s="104"/>
      <c r="K2" s="104"/>
      <c r="L2" s="104"/>
      <c r="M2" s="104"/>
      <c r="N2" s="104" t="s">
        <v>47</v>
      </c>
      <c r="O2" s="475">
        <v>24</v>
      </c>
      <c r="P2" s="99"/>
      <c r="Q2" s="99"/>
    </row>
    <row r="3" spans="1:17" s="102" customFormat="1">
      <c r="A3" s="99"/>
      <c r="B3" s="105" t="s">
        <v>48</v>
      </c>
      <c r="C3" s="457" t="s">
        <v>49</v>
      </c>
      <c r="D3" s="594" t="s">
        <v>50</v>
      </c>
      <c r="E3" s="594"/>
      <c r="F3" s="594"/>
      <c r="G3" s="594"/>
      <c r="H3" s="594">
        <v>7700</v>
      </c>
      <c r="I3" s="594"/>
      <c r="J3" s="104"/>
      <c r="K3" s="104"/>
      <c r="L3" s="104"/>
      <c r="M3" s="104"/>
      <c r="N3" s="104" t="s">
        <v>51</v>
      </c>
      <c r="O3" s="475" t="s">
        <v>52</v>
      </c>
      <c r="P3" s="99"/>
      <c r="Q3" s="99"/>
    </row>
    <row r="4" spans="1:17" s="102" customFormat="1">
      <c r="A4" s="99"/>
      <c r="B4" s="105" t="s">
        <v>53</v>
      </c>
      <c r="C4" s="457">
        <v>40.207711500000002</v>
      </c>
      <c r="D4" s="594" t="s">
        <v>54</v>
      </c>
      <c r="E4" s="594"/>
      <c r="F4" s="594"/>
      <c r="G4" s="594"/>
      <c r="H4" s="594">
        <v>7655</v>
      </c>
      <c r="I4" s="594"/>
      <c r="J4" s="104"/>
      <c r="K4" s="104"/>
      <c r="L4" s="104"/>
      <c r="M4" s="104"/>
      <c r="N4" s="104" t="s">
        <v>55</v>
      </c>
      <c r="O4" s="475" t="s">
        <v>679</v>
      </c>
      <c r="P4" s="99"/>
      <c r="Q4" s="99"/>
    </row>
    <row r="5" spans="1:17" s="102" customFormat="1">
      <c r="A5" s="99"/>
      <c r="B5" s="105" t="s">
        <v>56</v>
      </c>
      <c r="C5" s="457">
        <v>-104.9574343</v>
      </c>
      <c r="D5" s="170" t="s">
        <v>57</v>
      </c>
      <c r="E5" s="170"/>
      <c r="F5" s="456"/>
      <c r="G5" s="595" t="s">
        <v>670</v>
      </c>
      <c r="H5" s="596"/>
      <c r="I5" s="596"/>
      <c r="J5" s="596"/>
      <c r="K5" s="596"/>
      <c r="L5" s="596"/>
      <c r="M5" s="596"/>
      <c r="N5" s="456"/>
      <c r="O5" s="106"/>
      <c r="P5" s="99"/>
      <c r="Q5" s="99"/>
    </row>
    <row r="6" spans="1:17" ht="15" customHeight="1" thickBot="1">
      <c r="A6" s="107"/>
      <c r="B6" s="108"/>
      <c r="C6" s="109"/>
      <c r="D6" s="589" t="s">
        <v>59</v>
      </c>
      <c r="E6" s="589"/>
      <c r="F6" s="109"/>
      <c r="G6" s="590">
        <v>43804</v>
      </c>
      <c r="H6" s="590"/>
      <c r="I6" s="591"/>
      <c r="J6" s="591"/>
      <c r="K6" s="591"/>
      <c r="L6" s="109"/>
      <c r="M6" s="109"/>
      <c r="N6" s="109"/>
      <c r="O6" s="110"/>
      <c r="P6" s="107"/>
      <c r="Q6" s="107"/>
    </row>
    <row r="7" spans="1:17" ht="15" customHeight="1" thickBot="1">
      <c r="A7" s="107"/>
      <c r="B7" s="107"/>
      <c r="C7" s="107"/>
      <c r="D7" s="107"/>
      <c r="E7" s="107"/>
      <c r="F7" s="107"/>
      <c r="G7" s="112"/>
      <c r="H7" s="107"/>
      <c r="I7" s="112"/>
      <c r="J7" s="107"/>
      <c r="K7" s="112"/>
      <c r="L7" s="107"/>
      <c r="M7" s="107"/>
      <c r="N7" s="107"/>
      <c r="O7" s="113"/>
      <c r="P7" s="107"/>
      <c r="Q7" s="107"/>
    </row>
    <row r="8" spans="1:17" ht="15" customHeight="1">
      <c r="A8" s="107"/>
      <c r="B8" s="114"/>
      <c r="C8" s="115" t="s">
        <v>60</v>
      </c>
      <c r="D8" s="116"/>
      <c r="E8" s="116"/>
      <c r="F8" s="116"/>
      <c r="G8" s="592" t="s">
        <v>61</v>
      </c>
      <c r="H8" s="592"/>
      <c r="I8" s="592"/>
      <c r="J8" s="592"/>
      <c r="K8" s="592"/>
      <c r="L8" s="116"/>
      <c r="M8" s="116"/>
      <c r="N8" s="116"/>
      <c r="O8" s="117" t="s">
        <v>62</v>
      </c>
      <c r="P8" s="107"/>
      <c r="Q8" s="107"/>
    </row>
    <row r="9" spans="1:17">
      <c r="A9" s="107"/>
      <c r="B9" s="476"/>
      <c r="C9" s="477"/>
      <c r="D9" s="477"/>
      <c r="E9" s="477"/>
      <c r="F9" s="477"/>
      <c r="G9" s="477"/>
      <c r="H9" s="477"/>
      <c r="I9" s="478" t="s">
        <v>735</v>
      </c>
      <c r="J9" s="477"/>
      <c r="K9" s="477"/>
      <c r="L9" s="477"/>
      <c r="M9" s="477"/>
      <c r="N9" s="477"/>
      <c r="O9" s="479"/>
      <c r="P9" s="107"/>
      <c r="Q9" s="107"/>
    </row>
    <row r="10" spans="1:17">
      <c r="A10" s="107"/>
      <c r="B10" s="120" t="s">
        <v>63</v>
      </c>
      <c r="C10" s="480" t="s">
        <v>736</v>
      </c>
      <c r="D10" s="481"/>
      <c r="E10" s="350"/>
      <c r="F10" s="350"/>
      <c r="G10" s="350"/>
      <c r="H10" s="128"/>
      <c r="I10" s="463" t="s">
        <v>64</v>
      </c>
      <c r="J10" s="130"/>
      <c r="K10" s="350"/>
      <c r="L10" s="350"/>
      <c r="M10" s="350"/>
      <c r="N10" s="486"/>
      <c r="O10" s="479"/>
      <c r="P10" s="107"/>
      <c r="Q10" s="107"/>
    </row>
    <row r="11" spans="1:17">
      <c r="A11" s="107"/>
      <c r="B11" s="183"/>
      <c r="C11" s="487" t="s">
        <v>531</v>
      </c>
      <c r="D11" s="481" t="s">
        <v>737</v>
      </c>
      <c r="E11" s="497"/>
      <c r="F11" s="497"/>
      <c r="G11" s="497"/>
      <c r="H11" s="128"/>
      <c r="I11" s="129" t="s">
        <v>713</v>
      </c>
      <c r="J11" s="130"/>
      <c r="K11" s="350"/>
      <c r="L11" s="350"/>
      <c r="M11" s="350"/>
      <c r="N11" s="486"/>
      <c r="O11" s="479"/>
      <c r="P11" s="107"/>
      <c r="Q11" s="107"/>
    </row>
    <row r="12" spans="1:17" ht="15" thickBot="1">
      <c r="A12" s="107"/>
      <c r="B12" s="183"/>
      <c r="D12" s="481"/>
      <c r="E12" s="497"/>
      <c r="F12" s="497"/>
      <c r="G12" s="497"/>
      <c r="H12" s="128"/>
      <c r="I12" s="129" t="s">
        <v>714</v>
      </c>
      <c r="J12" s="130"/>
      <c r="K12" s="350"/>
      <c r="L12" s="350"/>
      <c r="M12" s="350"/>
      <c r="N12" s="489" t="s">
        <v>715</v>
      </c>
      <c r="O12" s="490" t="s">
        <v>716</v>
      </c>
      <c r="P12" s="122"/>
      <c r="Q12" s="122"/>
    </row>
    <row r="13" spans="1:17">
      <c r="A13" s="107"/>
      <c r="B13" s="491"/>
      <c r="C13" s="508" t="s">
        <v>117</v>
      </c>
      <c r="D13" s="481">
        <v>658</v>
      </c>
      <c r="E13" s="519"/>
      <c r="F13" s="519"/>
      <c r="G13" s="519"/>
      <c r="H13" s="525"/>
      <c r="I13" s="526"/>
      <c r="J13" s="527"/>
      <c r="K13" s="123"/>
      <c r="L13" s="123"/>
      <c r="M13" s="123"/>
      <c r="N13" s="489"/>
      <c r="O13" s="479"/>
      <c r="P13" s="122"/>
      <c r="Q13" s="122"/>
    </row>
    <row r="14" spans="1:17">
      <c r="A14" s="107"/>
      <c r="B14" s="491" t="s">
        <v>65</v>
      </c>
      <c r="C14" s="487" t="s">
        <v>738</v>
      </c>
      <c r="D14" s="481"/>
      <c r="E14" s="482"/>
      <c r="F14" s="482"/>
      <c r="G14" s="483"/>
      <c r="H14" s="597" t="s">
        <v>714</v>
      </c>
      <c r="I14" s="598"/>
      <c r="J14" s="599"/>
      <c r="K14" s="484"/>
      <c r="L14" s="485"/>
      <c r="M14" s="485"/>
      <c r="N14" s="489" t="s">
        <v>719</v>
      </c>
      <c r="O14" s="479" t="s">
        <v>118</v>
      </c>
      <c r="P14" s="107"/>
      <c r="Q14" s="122"/>
    </row>
    <row r="15" spans="1:17">
      <c r="A15" s="107"/>
      <c r="B15" s="473">
        <v>440</v>
      </c>
      <c r="C15" s="176" t="s">
        <v>528</v>
      </c>
      <c r="D15" s="176"/>
      <c r="E15" s="477"/>
      <c r="F15" s="482"/>
      <c r="G15" s="483"/>
      <c r="H15" s="129"/>
      <c r="I15" s="129" t="s">
        <v>718</v>
      </c>
      <c r="J15" s="129"/>
      <c r="K15" s="484"/>
      <c r="L15" s="485"/>
      <c r="M15" s="477"/>
      <c r="N15" s="492">
        <v>1186</v>
      </c>
      <c r="O15" s="479" t="s">
        <v>67</v>
      </c>
      <c r="P15" s="107"/>
      <c r="Q15" s="107"/>
    </row>
    <row r="16" spans="1:17">
      <c r="A16" s="107"/>
      <c r="B16" s="507"/>
      <c r="C16" s="176"/>
      <c r="D16" s="176"/>
      <c r="E16" s="477"/>
      <c r="F16" s="482"/>
      <c r="G16" s="483"/>
      <c r="H16" s="107"/>
      <c r="I16" s="334"/>
      <c r="J16" s="351"/>
      <c r="K16" s="484"/>
      <c r="L16" s="485"/>
      <c r="M16" s="477"/>
      <c r="N16" s="492"/>
      <c r="O16" s="479"/>
      <c r="P16" s="107"/>
      <c r="Q16" s="107"/>
    </row>
    <row r="17" spans="1:17">
      <c r="A17" s="107"/>
      <c r="B17" s="476">
        <v>75</v>
      </c>
      <c r="C17" s="477" t="s">
        <v>529</v>
      </c>
      <c r="D17" s="493">
        <v>1434</v>
      </c>
      <c r="E17" s="477"/>
      <c r="F17" s="482"/>
      <c r="G17" s="483"/>
      <c r="H17" s="107"/>
      <c r="I17" s="334"/>
      <c r="J17" s="351"/>
      <c r="K17" s="484"/>
      <c r="L17" s="485"/>
      <c r="M17" s="477"/>
      <c r="O17" s="479"/>
      <c r="P17" s="107"/>
      <c r="Q17" s="107"/>
    </row>
    <row r="18" spans="1:17">
      <c r="A18" s="107"/>
      <c r="B18" s="476"/>
      <c r="C18" s="487" t="s">
        <v>425</v>
      </c>
      <c r="D18" s="493">
        <v>1430</v>
      </c>
      <c r="E18" s="477"/>
      <c r="F18" s="494"/>
      <c r="G18" s="495"/>
      <c r="H18" s="107"/>
      <c r="I18" s="334"/>
      <c r="J18" s="351"/>
      <c r="K18" s="499"/>
      <c r="L18" s="494"/>
      <c r="M18" s="477"/>
      <c r="N18" s="492"/>
      <c r="O18" s="479"/>
      <c r="P18" s="107"/>
      <c r="Q18" s="107"/>
    </row>
    <row r="19" spans="1:17">
      <c r="A19" s="107"/>
      <c r="B19" s="136"/>
      <c r="E19" s="107"/>
      <c r="F19" s="135"/>
      <c r="G19" s="228"/>
      <c r="H19" s="107"/>
      <c r="I19" s="334"/>
      <c r="J19" s="351"/>
      <c r="K19" s="218"/>
      <c r="L19" s="135"/>
      <c r="M19" s="107"/>
      <c r="N19" s="178"/>
      <c r="O19" s="134"/>
      <c r="P19" s="107"/>
      <c r="Q19" s="107"/>
    </row>
    <row r="20" spans="1:17">
      <c r="A20" s="107"/>
      <c r="B20" s="118"/>
      <c r="C20" s="121"/>
      <c r="D20" s="112"/>
      <c r="E20" s="107"/>
      <c r="F20" s="164"/>
      <c r="G20" s="164"/>
      <c r="H20" s="496"/>
      <c r="I20" s="497"/>
      <c r="J20" s="498"/>
      <c r="K20" s="164"/>
      <c r="L20" s="164"/>
      <c r="M20" s="107"/>
      <c r="N20" s="503" t="s">
        <v>711</v>
      </c>
      <c r="O20" s="134" t="s">
        <v>710</v>
      </c>
      <c r="P20" s="107"/>
      <c r="Q20" s="107"/>
    </row>
    <row r="21" spans="1:17">
      <c r="A21" s="107"/>
      <c r="B21" s="118"/>
      <c r="C21" s="107"/>
      <c r="D21" s="107"/>
      <c r="E21" s="107"/>
      <c r="F21" s="164"/>
      <c r="G21" s="164"/>
      <c r="H21" s="515"/>
      <c r="I21" s="155" t="s">
        <v>712</v>
      </c>
      <c r="J21" s="517"/>
      <c r="K21" s="164"/>
      <c r="L21" s="164"/>
      <c r="M21" s="107"/>
      <c r="N21" s="503"/>
      <c r="O21" s="134"/>
      <c r="P21" s="107"/>
      <c r="Q21" s="107"/>
    </row>
    <row r="22" spans="1:17">
      <c r="A22" s="107"/>
      <c r="B22" s="118"/>
      <c r="C22" s="107"/>
      <c r="D22" s="107"/>
      <c r="E22" s="107"/>
      <c r="F22" s="164"/>
      <c r="G22" s="164"/>
      <c r="H22" s="516"/>
      <c r="I22" s="164" t="s">
        <v>717</v>
      </c>
      <c r="J22" s="518"/>
      <c r="K22" s="164"/>
      <c r="L22" s="164"/>
      <c r="M22" s="107"/>
      <c r="N22" s="503"/>
      <c r="O22" s="134"/>
      <c r="P22" s="107"/>
      <c r="Q22" s="107"/>
    </row>
    <row r="23" spans="1:17">
      <c r="A23" s="107"/>
      <c r="B23" s="118"/>
      <c r="F23" s="164"/>
      <c r="G23" s="164"/>
      <c r="H23" s="516"/>
      <c r="I23" s="164" t="s">
        <v>714</v>
      </c>
      <c r="J23" s="518"/>
      <c r="K23" s="164"/>
      <c r="L23" s="164"/>
      <c r="N23" s="514"/>
      <c r="O23" s="134"/>
      <c r="P23" s="107"/>
      <c r="Q23" s="107"/>
    </row>
    <row r="24" spans="1:17">
      <c r="A24" s="107"/>
      <c r="B24" s="118"/>
      <c r="F24" s="164"/>
      <c r="G24" s="164"/>
      <c r="H24" s="516"/>
      <c r="I24" s="164" t="s">
        <v>680</v>
      </c>
      <c r="J24" s="518"/>
      <c r="K24" s="164"/>
      <c r="L24" s="164"/>
      <c r="N24" s="514" t="s">
        <v>709</v>
      </c>
      <c r="O24" s="134" t="s">
        <v>710</v>
      </c>
      <c r="P24" s="107"/>
      <c r="Q24" s="107"/>
    </row>
    <row r="25" spans="1:17">
      <c r="A25" s="122"/>
      <c r="B25" s="118"/>
      <c r="F25" s="135"/>
      <c r="G25" s="228"/>
      <c r="H25" s="107"/>
      <c r="I25" s="334"/>
      <c r="J25" s="351"/>
      <c r="K25" s="218"/>
      <c r="L25" s="135"/>
      <c r="O25" s="134"/>
      <c r="P25" s="122"/>
      <c r="Q25" s="122"/>
    </row>
    <row r="26" spans="1:17">
      <c r="A26" s="122"/>
      <c r="B26" s="118"/>
      <c r="F26" s="135"/>
      <c r="G26" s="228"/>
      <c r="H26" s="107"/>
      <c r="I26" s="334"/>
      <c r="J26" s="351"/>
      <c r="K26" s="218"/>
      <c r="L26" s="135"/>
      <c r="O26" s="134"/>
      <c r="P26" s="122"/>
      <c r="Q26" s="122"/>
    </row>
    <row r="27" spans="1:17">
      <c r="A27" s="107"/>
      <c r="B27" s="118"/>
      <c r="C27" s="487" t="s">
        <v>117</v>
      </c>
      <c r="D27" s="493">
        <v>3980</v>
      </c>
      <c r="E27" s="107"/>
      <c r="F27" s="137"/>
      <c r="G27" s="229"/>
      <c r="H27" s="107"/>
      <c r="I27" s="488"/>
      <c r="J27" s="351"/>
      <c r="K27" s="219"/>
      <c r="L27" s="138"/>
      <c r="M27" s="107"/>
      <c r="N27" s="180"/>
      <c r="O27" s="134"/>
      <c r="P27" s="107"/>
      <c r="Q27" s="107"/>
    </row>
    <row r="28" spans="1:17">
      <c r="A28" s="107"/>
      <c r="B28" s="118"/>
      <c r="E28" s="107"/>
      <c r="F28" s="137"/>
      <c r="G28" s="229"/>
      <c r="H28" s="107"/>
      <c r="I28" s="488"/>
      <c r="J28" s="351"/>
      <c r="K28" s="219"/>
      <c r="L28" s="138"/>
      <c r="M28" s="107"/>
      <c r="N28" s="177"/>
      <c r="O28" s="134"/>
      <c r="P28" s="107"/>
      <c r="Q28" s="107"/>
    </row>
    <row r="29" spans="1:17">
      <c r="A29" s="107"/>
      <c r="B29" s="118"/>
      <c r="C29" s="140"/>
      <c r="D29" s="141"/>
      <c r="E29" s="141"/>
      <c r="F29" s="137"/>
      <c r="G29" s="229"/>
      <c r="H29" s="335"/>
      <c r="I29" s="501" t="s">
        <v>708</v>
      </c>
      <c r="J29" s="338"/>
      <c r="K29" s="219"/>
      <c r="L29" s="138"/>
      <c r="M29" s="107"/>
      <c r="N29" s="179"/>
      <c r="O29" s="142"/>
      <c r="P29" s="107"/>
      <c r="Q29" s="107"/>
    </row>
    <row r="30" spans="1:17">
      <c r="A30" s="107"/>
      <c r="B30" s="139" t="s">
        <v>68</v>
      </c>
      <c r="C30" s="176"/>
      <c r="D30" s="107"/>
      <c r="E30" s="107"/>
      <c r="F30" s="137"/>
      <c r="G30" s="229"/>
      <c r="H30" s="336"/>
      <c r="I30" s="502" t="s">
        <v>739</v>
      </c>
      <c r="J30" s="339"/>
      <c r="K30" s="219"/>
      <c r="L30" s="138"/>
      <c r="M30" s="107"/>
      <c r="N30" s="178"/>
      <c r="O30" s="134"/>
      <c r="P30" s="107"/>
      <c r="Q30" s="107"/>
    </row>
    <row r="31" spans="1:17">
      <c r="A31" s="107"/>
      <c r="B31" s="120" t="s">
        <v>69</v>
      </c>
      <c r="C31" s="146" t="s">
        <v>740</v>
      </c>
      <c r="D31" s="107"/>
      <c r="E31" s="107"/>
      <c r="F31" s="137"/>
      <c r="G31" s="229"/>
      <c r="H31" s="107"/>
      <c r="I31" s="488"/>
      <c r="J31" s="351"/>
      <c r="K31" s="219"/>
      <c r="L31" s="138"/>
      <c r="M31" s="107"/>
      <c r="N31" s="178"/>
      <c r="O31" s="134"/>
      <c r="P31" s="107"/>
    </row>
    <row r="32" spans="1:17">
      <c r="A32" s="107"/>
      <c r="B32" s="143" t="s">
        <v>70</v>
      </c>
      <c r="C32" s="478" t="s">
        <v>741</v>
      </c>
      <c r="D32" s="112"/>
      <c r="E32" s="107"/>
      <c r="F32" s="137"/>
      <c r="G32" s="229"/>
      <c r="H32" s="107"/>
      <c r="I32" s="488"/>
      <c r="J32" s="351"/>
      <c r="K32" s="219"/>
      <c r="L32" s="138"/>
      <c r="M32" s="107"/>
      <c r="N32" s="177"/>
      <c r="O32" s="134"/>
      <c r="P32" s="107"/>
      <c r="Q32" s="107"/>
    </row>
    <row r="33" spans="1:17">
      <c r="A33" s="107"/>
      <c r="B33" s="237" t="s">
        <v>742</v>
      </c>
      <c r="C33" s="176"/>
      <c r="D33" s="107"/>
      <c r="E33" s="107"/>
      <c r="F33" s="137"/>
      <c r="G33" s="229"/>
      <c r="H33" s="107"/>
      <c r="I33" s="488"/>
      <c r="J33" s="351"/>
      <c r="K33" s="219"/>
      <c r="L33" s="138"/>
      <c r="M33" s="107"/>
      <c r="N33" s="180"/>
      <c r="O33" s="134"/>
      <c r="P33" s="107"/>
      <c r="Q33" s="107"/>
    </row>
    <row r="34" spans="1:17">
      <c r="A34" s="107"/>
      <c r="B34" s="139" t="s">
        <v>71</v>
      </c>
      <c r="C34" s="500" t="s">
        <v>743</v>
      </c>
      <c r="D34" s="141"/>
      <c r="E34" s="141"/>
      <c r="F34" s="137"/>
      <c r="G34" s="229"/>
      <c r="H34" s="107"/>
      <c r="I34" s="334"/>
      <c r="J34" s="351"/>
      <c r="K34" s="219"/>
      <c r="L34" s="138"/>
      <c r="M34" s="107"/>
      <c r="N34" s="179"/>
      <c r="O34" s="134"/>
      <c r="P34" s="107"/>
      <c r="Q34" s="107"/>
    </row>
    <row r="35" spans="1:17">
      <c r="A35" s="107"/>
      <c r="B35" s="238" t="s">
        <v>742</v>
      </c>
      <c r="C35" s="239"/>
      <c r="D35" s="107"/>
      <c r="E35" s="107"/>
      <c r="F35" s="137"/>
      <c r="G35" s="229"/>
      <c r="H35" s="107"/>
      <c r="I35" s="334"/>
      <c r="J35" s="351"/>
      <c r="K35" s="219"/>
      <c r="L35" s="138"/>
      <c r="M35" s="107"/>
      <c r="N35" s="179"/>
      <c r="O35" s="134"/>
      <c r="P35" s="107"/>
      <c r="Q35" s="107"/>
    </row>
    <row r="36" spans="1:17">
      <c r="A36" s="107"/>
      <c r="B36" s="118"/>
      <c r="C36" s="127"/>
      <c r="D36" s="133"/>
      <c r="E36" s="107"/>
      <c r="F36" s="137"/>
      <c r="G36" s="229"/>
      <c r="H36" s="107"/>
      <c r="I36" s="334"/>
      <c r="J36" s="351"/>
      <c r="K36" s="220"/>
      <c r="L36" s="138"/>
      <c r="M36" s="107"/>
      <c r="N36" s="178"/>
      <c r="O36" s="134"/>
      <c r="P36" s="107"/>
      <c r="Q36" s="107"/>
    </row>
    <row r="37" spans="1:17">
      <c r="A37" s="145"/>
      <c r="B37" s="120"/>
      <c r="C37" s="146"/>
      <c r="D37" s="107"/>
      <c r="E37" s="107"/>
      <c r="F37" s="147"/>
      <c r="G37" s="230"/>
      <c r="H37" s="107"/>
      <c r="I37" s="334"/>
      <c r="J37" s="351"/>
      <c r="K37" s="221"/>
      <c r="L37" s="148"/>
      <c r="M37" s="107"/>
      <c r="N37" s="503" t="s">
        <v>744</v>
      </c>
      <c r="O37" s="504" t="s">
        <v>118</v>
      </c>
      <c r="P37" s="145"/>
      <c r="Q37" s="145"/>
    </row>
    <row r="38" spans="1:17">
      <c r="A38" s="107"/>
      <c r="B38" s="143"/>
      <c r="C38" s="112"/>
      <c r="D38" s="107"/>
      <c r="E38" s="107"/>
      <c r="F38" s="147"/>
      <c r="G38" s="230"/>
      <c r="H38" s="107"/>
      <c r="I38" s="334"/>
      <c r="J38" s="351"/>
      <c r="K38" s="221"/>
      <c r="L38" s="148"/>
      <c r="M38" s="107"/>
      <c r="N38" s="177"/>
      <c r="O38" s="144"/>
      <c r="P38" s="107"/>
      <c r="Q38" s="107"/>
    </row>
    <row r="39" spans="1:17">
      <c r="A39" s="107"/>
      <c r="B39" s="118"/>
      <c r="C39" s="107"/>
      <c r="D39" s="149"/>
      <c r="E39" s="149"/>
      <c r="F39" s="147"/>
      <c r="G39" s="231"/>
      <c r="H39" s="335"/>
      <c r="I39" s="501" t="s">
        <v>708</v>
      </c>
      <c r="J39" s="338"/>
      <c r="K39" s="222"/>
      <c r="L39" s="148"/>
      <c r="M39" s="107"/>
      <c r="N39" s="181"/>
      <c r="O39" s="119"/>
      <c r="P39" s="107"/>
      <c r="Q39" s="107"/>
    </row>
    <row r="40" spans="1:17">
      <c r="A40" s="107"/>
      <c r="B40" s="118"/>
      <c r="D40" s="107"/>
      <c r="E40" s="107"/>
      <c r="F40" s="147"/>
      <c r="G40" s="232"/>
      <c r="H40" s="336"/>
      <c r="I40" s="502" t="s">
        <v>745</v>
      </c>
      <c r="J40" s="339"/>
      <c r="K40" s="223"/>
      <c r="L40" s="148"/>
      <c r="M40" s="107"/>
      <c r="N40" s="182"/>
      <c r="O40" s="150"/>
      <c r="P40" s="107"/>
      <c r="Q40" s="107"/>
    </row>
    <row r="41" spans="1:17">
      <c r="A41" s="107"/>
      <c r="B41" s="143" t="s">
        <v>73</v>
      </c>
      <c r="C41" s="478" t="s">
        <v>746</v>
      </c>
      <c r="D41" s="149"/>
      <c r="E41" s="149"/>
      <c r="F41" s="147"/>
      <c r="G41" s="232"/>
      <c r="H41" s="107"/>
      <c r="I41" s="337"/>
      <c r="J41" s="351"/>
      <c r="K41" s="223"/>
      <c r="L41" s="148"/>
      <c r="M41" s="107"/>
      <c r="N41" s="181"/>
      <c r="O41" s="119"/>
      <c r="P41" s="107"/>
    </row>
    <row r="42" spans="1:17">
      <c r="A42" s="107"/>
      <c r="B42" s="470" t="s">
        <v>706</v>
      </c>
      <c r="C42" s="471" t="s">
        <v>707</v>
      </c>
      <c r="D42" s="149"/>
      <c r="E42" s="149"/>
      <c r="F42" s="147"/>
      <c r="G42" s="232"/>
      <c r="H42" s="107"/>
      <c r="I42" s="337"/>
      <c r="J42" s="351"/>
      <c r="K42" s="223"/>
      <c r="L42" s="148"/>
      <c r="M42" s="107"/>
      <c r="N42" s="181"/>
      <c r="O42" s="119"/>
      <c r="P42" s="107"/>
    </row>
    <row r="43" spans="1:17" ht="15" thickBot="1">
      <c r="A43" s="107"/>
      <c r="B43" s="143"/>
      <c r="C43" s="132"/>
      <c r="D43" s="149"/>
      <c r="E43" s="149"/>
      <c r="F43" s="151"/>
      <c r="G43" s="232"/>
      <c r="H43" s="107"/>
      <c r="I43" s="337"/>
      <c r="J43" s="351"/>
      <c r="K43" s="223"/>
      <c r="L43" s="148"/>
      <c r="M43" s="107"/>
      <c r="N43" s="181"/>
      <c r="O43" s="119"/>
      <c r="P43" s="107"/>
      <c r="Q43" s="99" t="s">
        <v>72</v>
      </c>
    </row>
    <row r="44" spans="1:17" ht="15" thickBot="1">
      <c r="A44" s="107"/>
      <c r="B44" s="470" t="s">
        <v>76</v>
      </c>
      <c r="C44" s="471" t="s">
        <v>681</v>
      </c>
      <c r="D44" s="149"/>
      <c r="E44" s="107"/>
      <c r="F44" s="147"/>
      <c r="G44" s="229"/>
      <c r="H44" s="107"/>
      <c r="I44" s="337"/>
      <c r="J44" s="351"/>
      <c r="K44" s="224"/>
      <c r="L44" s="148"/>
      <c r="M44" s="107"/>
      <c r="N44" s="107"/>
      <c r="O44" s="152" t="s">
        <v>74</v>
      </c>
      <c r="P44" s="107"/>
      <c r="Q44" s="153"/>
    </row>
    <row r="45" spans="1:17" ht="15" thickBot="1">
      <c r="A45" s="107"/>
      <c r="B45" s="118"/>
      <c r="C45" s="131"/>
      <c r="D45" s="107"/>
      <c r="E45" s="149"/>
      <c r="F45" s="147"/>
      <c r="G45" s="233"/>
      <c r="H45" s="464"/>
      <c r="I45" s="337"/>
      <c r="J45" s="465"/>
      <c r="K45" s="225"/>
      <c r="L45" s="148"/>
      <c r="M45" s="107"/>
      <c r="N45" s="107"/>
      <c r="O45" s="154" t="s">
        <v>75</v>
      </c>
      <c r="P45" s="107"/>
      <c r="Q45" s="155"/>
    </row>
    <row r="46" spans="1:17" ht="15" thickBot="1">
      <c r="A46" s="107"/>
      <c r="B46" s="156"/>
      <c r="C46" s="157"/>
      <c r="D46" s="149"/>
      <c r="E46" s="149"/>
      <c r="F46" s="147"/>
      <c r="G46" s="234"/>
      <c r="H46" s="466"/>
      <c r="I46" s="467"/>
      <c r="J46" s="468"/>
      <c r="K46" s="226"/>
      <c r="L46" s="148"/>
      <c r="M46" s="107"/>
      <c r="N46" s="107"/>
      <c r="O46" s="158" t="s">
        <v>77</v>
      </c>
      <c r="P46" s="107"/>
      <c r="Q46" s="159"/>
    </row>
    <row r="47" spans="1:17" ht="15" thickBot="1">
      <c r="A47" s="107"/>
      <c r="B47" s="469"/>
      <c r="C47" s="157"/>
      <c r="D47" s="149"/>
      <c r="E47" s="107"/>
      <c r="F47" s="147"/>
      <c r="G47" s="232"/>
      <c r="H47" s="107"/>
      <c r="I47" s="124"/>
      <c r="J47" s="351"/>
      <c r="K47" s="223"/>
      <c r="L47" s="148"/>
      <c r="M47" s="107"/>
      <c r="N47" s="107"/>
      <c r="O47" s="185" t="s">
        <v>78</v>
      </c>
      <c r="P47" s="107"/>
      <c r="Q47" s="186"/>
    </row>
    <row r="48" spans="1:17" ht="15" customHeight="1" thickBot="1">
      <c r="A48" s="107"/>
      <c r="B48" s="118"/>
      <c r="C48" s="107"/>
      <c r="D48" s="107"/>
      <c r="E48" s="107"/>
      <c r="F48" s="160"/>
      <c r="G48" s="235"/>
      <c r="H48" s="107"/>
      <c r="I48" s="124"/>
      <c r="J48" s="351"/>
      <c r="K48" s="227"/>
      <c r="L48" s="160"/>
      <c r="M48" s="107"/>
      <c r="N48" s="107"/>
      <c r="O48" s="161" t="s">
        <v>79</v>
      </c>
      <c r="P48" s="107"/>
      <c r="Q48" s="162"/>
    </row>
    <row r="49" spans="1:17" ht="15" thickBot="1">
      <c r="A49" s="107"/>
      <c r="B49" s="505"/>
      <c r="C49" s="506"/>
      <c r="D49" s="487"/>
      <c r="E49" s="107"/>
      <c r="F49" s="160"/>
      <c r="G49" s="235"/>
      <c r="H49" s="107"/>
      <c r="I49" s="124"/>
      <c r="J49" s="351"/>
      <c r="K49" s="227"/>
      <c r="L49" s="160"/>
      <c r="M49" s="107"/>
      <c r="N49" s="107"/>
      <c r="O49" s="163" t="s">
        <v>80</v>
      </c>
      <c r="P49" s="107"/>
      <c r="Q49" s="164"/>
    </row>
    <row r="50" spans="1:17" ht="15" thickBot="1">
      <c r="A50" s="107"/>
      <c r="B50" s="120" t="s">
        <v>63</v>
      </c>
      <c r="C50" s="480" t="s">
        <v>747</v>
      </c>
      <c r="D50" s="500"/>
      <c r="E50" s="107"/>
      <c r="F50" s="160"/>
      <c r="G50" s="235"/>
      <c r="H50" s="107"/>
      <c r="I50" s="124"/>
      <c r="J50" s="351"/>
      <c r="K50" s="227"/>
      <c r="L50" s="160"/>
      <c r="M50" s="107"/>
      <c r="N50" s="107"/>
      <c r="O50" s="165" t="s">
        <v>81</v>
      </c>
      <c r="P50" s="107"/>
      <c r="Q50" s="166"/>
    </row>
    <row r="51" spans="1:17" ht="15" customHeight="1" thickBot="1">
      <c r="A51" s="107"/>
      <c r="B51" s="505" t="s">
        <v>530</v>
      </c>
      <c r="C51" s="506"/>
      <c r="D51" s="487" t="s">
        <v>748</v>
      </c>
      <c r="E51" s="107"/>
      <c r="F51" s="167"/>
      <c r="G51" s="167"/>
      <c r="H51" s="167"/>
      <c r="I51" s="167"/>
      <c r="J51" s="167"/>
      <c r="K51" s="167"/>
      <c r="L51" s="167"/>
      <c r="M51" s="107"/>
      <c r="N51" s="107"/>
      <c r="O51" s="168" t="s">
        <v>82</v>
      </c>
      <c r="P51" s="107"/>
      <c r="Q51" s="135"/>
    </row>
    <row r="52" spans="1:17" ht="15" customHeight="1" thickBot="1">
      <c r="A52" s="107"/>
      <c r="B52" s="472">
        <v>248</v>
      </c>
      <c r="C52" s="109" t="s">
        <v>528</v>
      </c>
      <c r="D52" s="109"/>
      <c r="E52" s="109"/>
      <c r="F52" s="109"/>
      <c r="G52" s="109"/>
      <c r="H52" s="109"/>
      <c r="I52" s="109"/>
      <c r="J52" s="109"/>
      <c r="K52" s="109"/>
      <c r="L52" s="109"/>
      <c r="M52" s="109"/>
      <c r="N52" s="109"/>
      <c r="O52" s="169"/>
      <c r="P52" s="107"/>
      <c r="Q52" s="107"/>
    </row>
    <row r="53" spans="1:17">
      <c r="A53" s="107"/>
      <c r="B53" s="107"/>
      <c r="C53" s="107"/>
      <c r="D53" s="107"/>
      <c r="E53" s="107"/>
      <c r="F53" s="107"/>
      <c r="G53" s="107"/>
      <c r="H53" s="107"/>
      <c r="I53" s="107"/>
      <c r="J53" s="107"/>
      <c r="K53" s="107"/>
      <c r="L53" s="107"/>
      <c r="M53" s="107"/>
      <c r="N53" s="107"/>
      <c r="O53" s="107"/>
      <c r="P53" s="107"/>
      <c r="Q53" s="107"/>
    </row>
    <row r="55" spans="1:17">
      <c r="B55" s="346"/>
      <c r="C55" s="346"/>
      <c r="D55" s="346"/>
    </row>
    <row r="56" spans="1:17">
      <c r="B56" s="346"/>
      <c r="C56" s="346"/>
      <c r="D56" s="346"/>
    </row>
    <row r="57" spans="1:17">
      <c r="B57" s="346"/>
      <c r="C57" s="346"/>
      <c r="D57" s="346"/>
    </row>
    <row r="58" spans="1:17">
      <c r="B58" s="346"/>
      <c r="C58" s="346"/>
      <c r="D58" s="346"/>
    </row>
    <row r="59" spans="1:17">
      <c r="B59" s="346"/>
      <c r="C59" s="346"/>
      <c r="D59" s="346"/>
    </row>
  </sheetData>
  <sheetProtection formatCells="0" formatColumns="0"/>
  <mergeCells count="13">
    <mergeCell ref="H14:J14"/>
    <mergeCell ref="D6:E6"/>
    <mergeCell ref="G6:K6"/>
    <mergeCell ref="G8:K8"/>
    <mergeCell ref="D1:G1"/>
    <mergeCell ref="D2:G2"/>
    <mergeCell ref="D3:G3"/>
    <mergeCell ref="D4:G4"/>
    <mergeCell ref="G5:M5"/>
    <mergeCell ref="H1:I1"/>
    <mergeCell ref="H2:I2"/>
    <mergeCell ref="H3:I3"/>
    <mergeCell ref="H4:I4"/>
  </mergeCells>
  <dataValidations count="1">
    <dataValidation type="list" allowBlank="1" showInputMessage="1" showErrorMessage="1" sqref="B47 B44 B42">
      <formula1>"Niobrara Perfs,Codell Perfs,J Sand Perfs,Sussex Perfs,Shannon Perfs,Dakota Perfs"</formula1>
    </dataValidation>
  </dataValidations>
  <pageMargins left="0.25" right="0.25" top="0.75" bottom="0.75" header="0.3" footer="0.3"/>
  <pageSetup scale="88" fitToWidth="0"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theme="9" tint="-0.249977111117893"/>
  </sheetPr>
  <dimension ref="A1:M145"/>
  <sheetViews>
    <sheetView topLeftCell="A4" zoomScaleNormal="100" workbookViewId="0">
      <selection activeCell="L19" sqref="L19"/>
    </sheetView>
  </sheetViews>
  <sheetFormatPr defaultRowHeight="14.4"/>
  <cols>
    <col min="1" max="1" width="5" style="19" customWidth="1"/>
    <col min="2" max="2" width="105.109375" customWidth="1"/>
    <col min="3" max="3" width="9.109375" style="9"/>
  </cols>
  <sheetData>
    <row r="1" spans="1:5">
      <c r="B1" t="s">
        <v>354</v>
      </c>
    </row>
    <row r="2" spans="1:5">
      <c r="B2" t="s">
        <v>355</v>
      </c>
    </row>
    <row r="3" spans="1:5">
      <c r="B3" s="7">
        <f ca="1">TODAY()</f>
        <v>43805</v>
      </c>
      <c r="D3" s="328"/>
      <c r="E3" s="329"/>
    </row>
    <row r="4" spans="1:5">
      <c r="B4" s="6" t="s">
        <v>27</v>
      </c>
      <c r="D4" s="330"/>
      <c r="E4" s="331"/>
    </row>
    <row r="5" spans="1:5">
      <c r="B5" s="208" t="e">
        <f>Well_Name&amp;"                                              API: "&amp;API&amp;"                            WINS: "&amp;WINS</f>
        <v>#REF!</v>
      </c>
      <c r="D5" s="332"/>
      <c r="E5" s="333"/>
    </row>
    <row r="6" spans="1:5">
      <c r="B6" s="8"/>
    </row>
    <row r="7" spans="1:5">
      <c r="A7" s="24" t="s">
        <v>37</v>
      </c>
      <c r="B7" s="6" t="s">
        <v>36</v>
      </c>
    </row>
    <row r="8" spans="1:5" ht="43.2">
      <c r="A8" s="510">
        <v>1</v>
      </c>
      <c r="B8" s="511" t="s">
        <v>35</v>
      </c>
    </row>
    <row r="9" spans="1:5">
      <c r="A9" s="510">
        <v>2</v>
      </c>
      <c r="B9" s="511" t="e">
        <f>"MIRU Slickline"&amp;IF(Gyro_Found__Y_N="Y",""," and VES")&amp;". "&amp;IF(Gyro_Found__Y_N="Y","Pull production equipment and tag bottom. Record tag depth in Open Wells.","")&amp;" "&amp;IF(Gyro_Found__Y_N="Y",IF(GYRO_DIR="GYRO","Gyro","Directional Survey")&amp;" was run on "&amp;TEXT(Gyro_Date,"MM/DD/YY")&amp;".","WELL NEEDS GYRO RUN. Run gyro to "&amp;Tubing_Set_Depth__ft&amp;"', making stops every 100'.")&amp;" RDMO Slickline"&amp;IF(Gyro_Found__Y_N="Y",""," and VES")&amp;"."</f>
        <v>#REF!</v>
      </c>
    </row>
    <row r="10" spans="1:5">
      <c r="A10" s="510">
        <v>3</v>
      </c>
      <c r="B10" s="511" t="s">
        <v>395</v>
      </c>
    </row>
    <row r="11" spans="1:5" s="9" customFormat="1">
      <c r="A11" s="510">
        <v>4</v>
      </c>
      <c r="B11" s="513" t="s">
        <v>105</v>
      </c>
    </row>
    <row r="12" spans="1:5" ht="28.8">
      <c r="A12" s="510">
        <v>5</v>
      </c>
      <c r="B12" s="511" t="s">
        <v>103</v>
      </c>
    </row>
    <row r="13" spans="1:5">
      <c r="A13" s="510">
        <v>6</v>
      </c>
      <c r="B13" s="511" t="e">
        <f>"MIRU WO rig. "&amp;IF(AND(Age_of_well__yr&gt;=20,Tubing_Set_Depth__ft&lt;Deepest_CIBP__ft+10),"Spot a min of "&amp;ROUNDUP((Deepest_CIBP__ft+10-Tubing_Set_Depth__ft)/30.5,0)&amp;" jts of "&amp;Tubing_OD__in&amp;" "&amp;VLOOKUP(Tubing_OD__in,INPUTS!I2:J5,2,FALSE)&amp;" tbg. ",IF(Tubing_Set_Depth__ft&gt;=Niobrara_CIBP___BOC__ft,"","Spot a min of "&amp;ROUNDUP((Niobrara_CIBP___BOC__ft+10-Tubing_Set_Depth__ft)/30.5,0)&amp;" jts of "&amp;Tubing_OD__in&amp;" "&amp;VLOOKUP(Tubing_OD__in,INPUTS!I2:J5,2,FALSE)&amp;" tbg. "))&amp;"Kill well as necessary using biocide treated fresh water.  Verifty BOP and wellhead rating, inspect for appropriate API standards, pressure test BOP according to VWP BOP testing guidelines.  ND WH.  NU BOP.  Unland tbg using unlanding joint and LD. "&amp;IF(Packer_Downhole?__Y_N="Y","Release packer set at "&amp;Packer_Depth__ft&amp;"'.","")</f>
        <v>#REF!</v>
      </c>
    </row>
    <row r="14" spans="1:5">
      <c r="A14" s="510">
        <v>7</v>
      </c>
      <c r="B14" s="513" t="e">
        <f>"TOOH and SB "&amp;IF(Age_of_well__yr&gt;=20,IF(Tubing_Set_Depth__ft&gt;=(J_Sand_CIBP__ft+10),IF(Packer_Downhole?__Y_N="Y", J_Sand_CIBP__ft+10&amp;"’ "&amp;Tubing_OD__in&amp;" tbg. LD packer and any remainder.",J_Sand_CIBP__ft+10&amp;"’ "&amp;Tubing_OD__in&amp;" tbg. LD any remainder."),IF(Packer_Downhole?__Y_N="Y","all "&amp;Tubing_OD__in&amp;" tbg. LD packer.","all "&amp;Tubing_OD__in&amp;" tbg.")),IF(Tubing_Set_Depth__ft&gt;=(Niobrara_CIBP___BOC__ft),IF(Packer_Downhole?__Y_N="Y",Niobrara_CIBP___BOC__ft+10&amp;"’ "&amp;Tubing_OD__in&amp;" tbg. LD packer and any remainder.",Niobrara_CIBP___BOC__ft&amp;"’ "&amp;Tubing_OD__in&amp;" tbg. LD any remainder."), IF(Packer_Downhole?__Y_N="Y","all "&amp;Tubing_OD__in&amp;" tbg. LD packer.","all "&amp;Tubing_OD__in&amp;" tbg.")))</f>
        <v>#REF!</v>
      </c>
    </row>
    <row r="15" spans="1:5">
      <c r="A15" s="510">
        <v>8</v>
      </c>
      <c r="B15" s="511" t="e">
        <f>IF(Age_of_well__yr&gt;=20,"PU and TIH with ("&amp;Prod_csg__size_wt&amp;") Bit and Scraper on "&amp;Tubing_OD__in&amp;" tbg to "&amp;Deepest_CIBP__ft+10&amp;"'. TOOH and SB "&amp;Niobrara_CIBP___BOC__ft&amp;"' of "&amp;Tubing_OD__in&amp;" tbg.  LD Bit and Scraper and remaining tbg.","MIRU WL. PU and RIH with ("&amp;Prod_csg__size_wt&amp;") gauge ring to "&amp;Deepest_CIBP__ft+10&amp;"'. POOH.")</f>
        <v>#REF!</v>
      </c>
      <c r="D15" s="9"/>
    </row>
    <row r="16" spans="1:5" s="9" customFormat="1">
      <c r="A16" s="510">
        <v>9</v>
      </c>
      <c r="B16" s="511" t="e">
        <f>IF(OR(Age_of_well__yr&lt;20,J_Sand_CIBP__ft&lt;&gt;0),"","MIRU WL.  ")&amp;"PU and RIH with ("&amp;Prod_csg__size_wt&amp;") CIBP and set at +/- "&amp;Niobrara_CIBP___BOC__ft&amp;"'"&amp;IF(Collar_Above_Nio_CIBP__ft&gt;0," (collars at "&amp;Collar_Above_Nio_CIBP__ft&amp;"' &amp; "&amp;Collar_Below_Nio_CIBP__ft&amp;"')","")&amp;".  POOH.  RDMO WL."</f>
        <v>#REF!</v>
      </c>
    </row>
    <row r="17" spans="1:13">
      <c r="A17" s="510">
        <v>10</v>
      </c>
      <c r="B17" s="511" t="e">
        <f>"TIH with "&amp;Tubing_OD__in&amp;" tbg to "&amp;Niobrara_CIBP___BOC__ft&amp;"’ "&amp;IF(CBL_Found__Y_N="N","Load hole with biocide treated fresh water and circulate all gas out of well. TOOH and SB "&amp;Tubing_OD__in&amp;" tbg.","")</f>
        <v>#REF!</v>
      </c>
    </row>
    <row r="18" spans="1:13" s="9" customFormat="1">
      <c r="A18" s="510">
        <v>11</v>
      </c>
      <c r="B18" s="511" t="e">
        <f>IF(CBL_Found__Y_N="Y","Load hole with biocide treated fresh water and circulate all gas out of well. PT CIBP to "&amp;IF(Squeeze_Holes="N",1000,500)&amp;"psi for 15 minutes.","MIRU WL. RIH and run CBL from "&amp;Niobrara_CIBP___BOC__ft&amp;"' to surface. Forward CBL to Platteville office. Cementing plans may change depending on CBL results.  TIH with "&amp;Tubing_OD__in&amp;" tbg to "&amp;Niobrara_CIBP___BOC__ft&amp;"’.  PT CIBP to "&amp;IF(Squeeze_Holes="N",1000,500)&amp;"psi for 15 minutes.")</f>
        <v>#REF!</v>
      </c>
    </row>
    <row r="19" spans="1:13">
      <c r="A19" s="510">
        <v>12</v>
      </c>
      <c r="B19" s="511" t="e">
        <f>"MIRU Cementers. Pump Niobrara Balance Plug: Pump "&amp;Niobrara_Cement_Vol__sx&amp;" sx ("&amp;ROUNDUP((Niobrara_Cement_Vol__sx*NB_Plug_yld)/5.6146,1)&amp;" bbl or "&amp;ROUNDUP(Niobrara_Cement_Vol__sx*NB_Plug_yld,0)&amp;" cf), assuming "&amp;NB_Plug_ppg&amp;" ppg &amp; "&amp;NB_Plug_yld&amp;" cf/sk. Volume based on "&amp;Niobrara_CIBP___BOC__ft-Niobrara_TOC__ft&amp;"’ inside "&amp;Prod_csg__size_wt&amp;" production casing with no excess. Cement will be from "&amp;Niobrara_CIBP___BOC__ft&amp;"'-"&amp;Niobrara_TOC__ft&amp;"'.  Collect wet and dry samples of cement to be left on rig.  RD Cementers."</f>
        <v>#REF!</v>
      </c>
    </row>
    <row r="20" spans="1:13">
      <c r="A20" s="510">
        <v>13</v>
      </c>
      <c r="B20" s="511" t="e">
        <f>"Pull out of cement at a rate of 1 jt/min.  TOOH, SB "&amp;IF(SUSX_SH_Cement_Vol__sx&lt;&gt;0,SUSX_SH_CICR__ft,IF(Hesitation_Cement_Vol__sx&lt;&gt;0,Hesitation_CICR__ft,IF(Stub_Lower_CIBP__ft&lt;&gt;0,Cut_Casing_Depth__ft,IF(BH_Cement_Vol__sx&lt;&gt;0,BH_CICR__ft,Stub_Plug_BOC__ft))))&amp;"' "&amp;Tubing_OD__in&amp;" tbg.  LD remaining tbg."</f>
        <v>#REF!</v>
      </c>
    </row>
    <row r="21" spans="1:13" ht="28.8">
      <c r="A21" s="510">
        <v>14</v>
      </c>
      <c r="B21" s="511" t="s">
        <v>705</v>
      </c>
      <c r="C21" s="349" t="e">
        <f>IF(SUSX_CIBP=0,"No Sussex CIBP.  Delet this row","")</f>
        <v>#REF!</v>
      </c>
    </row>
    <row r="22" spans="1:13" s="9" customFormat="1">
      <c r="A22" s="510">
        <v>15</v>
      </c>
      <c r="B22" s="511" t="e">
        <f>"PU and TIH with mechanical cutter on "&amp;Tubing_OD__in&amp;" tbg. Cut "&amp;Prod_csg__size_wt&amp;" casing at "&amp;Cut_Casing_Depth__ft&amp;"'. TOOH and LD cutter."</f>
        <v>#REF!</v>
      </c>
      <c r="C22" s="349"/>
    </row>
    <row r="23" spans="1:13" s="9" customFormat="1">
      <c r="A23" s="510">
        <v>16</v>
      </c>
      <c r="B23" s="512" t="e">
        <f>"Attempt to establish circulation and circulate ("&amp;IF(Flush1&lt;=100,Flush1,100)&amp;" bbl) with fresh water containing biocide to remove any gas."</f>
        <v>#REF!</v>
      </c>
    </row>
    <row r="24" spans="1:13" s="9" customFormat="1" ht="28.8">
      <c r="A24" s="510">
        <v>17</v>
      </c>
      <c r="B24" s="512" t="s">
        <v>109</v>
      </c>
    </row>
    <row r="25" spans="1:13" s="13" customFormat="1">
      <c r="A25" s="510">
        <v>18</v>
      </c>
      <c r="B25" s="512" t="e">
        <f>"Install BOP on casing head with "&amp;Prod_csg__size_wt&amp;" pipe rams."</f>
        <v>#REF!</v>
      </c>
      <c r="C25" s="9"/>
    </row>
    <row r="26" spans="1:13" s="13" customFormat="1">
      <c r="A26" s="510">
        <v>19</v>
      </c>
      <c r="B26" s="512" t="e">
        <f>"TOOH and LD all "&amp;Prod_csg__size_wt&amp;" casing. Remove "&amp;Prod_csg__size_wt&amp;" pipe rams and install "&amp;Tubing_OD__in&amp;" pipe rams."</f>
        <v>#REF!</v>
      </c>
      <c r="C26" s="9"/>
    </row>
    <row r="27" spans="1:13">
      <c r="A27" s="510">
        <v>20</v>
      </c>
      <c r="B27" s="511" t="e">
        <f>"TIH with mule shoe and "&amp;Tubing_OD__in&amp;" tubing to "&amp;Stub_Plug_BOC__ft&amp;"'."</f>
        <v>#REF!</v>
      </c>
      <c r="C27" s="208"/>
    </row>
    <row r="28" spans="1:13" s="13" customFormat="1">
      <c r="A28" s="510">
        <v>21</v>
      </c>
      <c r="B28" s="512" t="e">
        <f>"Establish circulation to surface with biocide treated fresh water"&amp;IF(Cut_Casing_Depth__ft&gt;0," and pump at least "&amp;IF(Bradenhead_Issues?__Y_N="N","two","three")&amp;" hole-volumes ("&amp;IF(Bradenhead_Issues?__Y_N="N",Flush2,Flush2*1.5)&amp;" bbl) to circulate all gas out of the well.  Contact engineering if evidence of gas migration persists.",".")</f>
        <v>#REF!</v>
      </c>
      <c r="C28" s="9"/>
    </row>
    <row r="29" spans="1:13" s="13" customFormat="1">
      <c r="A29" s="510">
        <v>22</v>
      </c>
      <c r="B29" s="512" t="e">
        <f>"RU Cementers. "&amp;IF(Cut_Casing_Depth__ft&lt;=Surface_Casing_Shoe__ft,"","Pump 10 bbls (min) of pre-flush, followed by 5 bbls fresh water spacer.")&amp;" Pump "&amp;IF(Cut_Casing_Depth__ft&lt;&gt;0,"Stub Plug","Fox Hills Balance Plug")&amp;": "&amp;Stub_Plug_Cement_Vol__sx&amp;" sx ("&amp;ROUNDUP((Stub_Plug_Cement_Vol__sx*Stub_Plug_yld)/5.6146,1)&amp;" bbl or "&amp;ROUNDUP(Stub_Plug_Cement_Vol__sx*Stub_Plug_yld,0)&amp;" cf) "&amp;IF(Cut_Casing_Depth__ft&lt;&gt;0,"Class G cement with 0.25 lb/sk Polyflake,","Class G cement,")&amp;" assuming "&amp;Stub_Plug_ppg&amp;" ppg &amp; "&amp;Stub_Plug_yld&amp;" cf/sk.  Volume is based on "&amp;IF(Stub_Lower_CIBP__ft&lt;&gt;0,"",IF(Cut_Casing_Depth__ft &lt;&gt;0,Stub_Plug_BOC__ft-Cut_Casing_Depth__ft, Stub_Plug_BOC__ft- Stub_Plug_TOC_Calc__ft)&amp;"' in "&amp;Prod_csg__size_wt&amp;" production casing with no excess.")&amp;IF(Cut_Casing_Depth__ft&lt;=Surface_Casing_Shoe__ft,""," "&amp;IF(Stub_Lower_CIBP__ft&lt;&gt;0,Stub_Plug_BOC__ft-Surface_Casing_Shoe__ft,Cut_Casing_Depth__ft-Surface_Casing_Shoe__ft)&amp;"' in "&amp;Prod_Hole_Size__in&amp;CHAR(34)&amp;" bit size open hole with "&amp;OH_Excess_Factor&amp;"% excess factor.")&amp;IF(Cut_Casing_Depth__ft=0,""," "&amp;IF(Cut_Casing_Depth__ft&lt;=Surface_Casing_Shoe__ft,Cut_Casing_Depth__ft-Stub_Plug_TOC_Calc__ft,Surface_Casing_Shoe__ft-Stub_Plug_TOC_Calc__ft)&amp;"' in the "&amp;Surface_Casing__size_wt&amp;" surface casing with no excess.")&amp;"  The plug is designed to cover "&amp;Stub_Plug_BOC__ft&amp;"'-"&amp;Stub_Plug_TOC_Calc__ft&amp;"'.  Collect wet and dry samples of cement to be left on rig.  RDMO Cementers. Notify engineering if circulation is ever lost during job."</f>
        <v>#REF!</v>
      </c>
      <c r="C29" s="9"/>
    </row>
    <row r="30" spans="1:13">
      <c r="A30" s="510">
        <v>23</v>
      </c>
      <c r="B30" s="511" t="e">
        <f>"Pull out of cement at a rate of 1 jt/min.  TOOH to "&amp;IF(ROUNDDOWN(Stub_Plug_TOC_Calc__ft-100,-1)&gt;200, ROUNDDOWN(Stub_Plug_TOC_Calc__ft-200, -1), (IF(Stub_Plug_TOC_Calc__ft&gt;250, Stub_Plug_TOC_Calc__ft-100, 100)))&amp;"'. Reverse circulate using biocide treated fresh water to ensure the tubing is clean. TOOH, LD all "&amp;Tubing_OD__in&amp;" tbg."</f>
        <v>#REF!</v>
      </c>
      <c r="E30" s="13"/>
      <c r="F30" s="13"/>
      <c r="G30" s="13"/>
      <c r="H30" s="13"/>
      <c r="I30" s="13"/>
      <c r="J30" s="13"/>
      <c r="K30" s="13"/>
      <c r="L30" s="13"/>
      <c r="M30" s="13"/>
    </row>
    <row r="31" spans="1:13" ht="28.8">
      <c r="A31" s="510">
        <v>24</v>
      </c>
      <c r="B31" s="511" t="str">
        <f>"Tag cement as needed.  After tagging top of cement, and verifying appropriate coverage above the surface casing shoe, pressure test surface casing to 500 psi and hold for 15 minutes."</f>
        <v>Tag cement as needed.  After tagging top of cement, and verifying appropriate coverage above the surface casing shoe, pressure test surface casing to 500 psi and hold for 15 minutes.</v>
      </c>
      <c r="C31" s="13"/>
    </row>
    <row r="32" spans="1:13" s="9" customFormat="1">
      <c r="A32" s="510">
        <v>25</v>
      </c>
      <c r="B32" s="511" t="e">
        <f>"MIRU WL. RIH "&amp;IF(Cut_Casing_Depth__ft&gt;0, Surface_Casing__size_wt,Prod_csg__size_wt)&amp;" CIBP to 80'.  RDMO WL and WO rig."</f>
        <v>#REF!</v>
      </c>
      <c r="C32" s="13"/>
    </row>
    <row r="33" spans="1:3" ht="28.8">
      <c r="A33" s="510">
        <v>26</v>
      </c>
      <c r="B33" s="511" t="s">
        <v>88</v>
      </c>
    </row>
    <row r="34" spans="1:3">
      <c r="A34" s="510">
        <v>27</v>
      </c>
      <c r="B34" s="511" t="s">
        <v>104</v>
      </c>
      <c r="C34" s="13"/>
    </row>
    <row r="35" spans="1:3">
      <c r="A35" s="510">
        <v>28</v>
      </c>
      <c r="B35" s="511" t="s">
        <v>89</v>
      </c>
      <c r="C35" s="13"/>
    </row>
    <row r="36" spans="1:3">
      <c r="A36" s="510">
        <v>29</v>
      </c>
      <c r="B36" s="511" t="e">
        <f>"Capping crew will set and secure night cap on "&amp;IF(Cut_Casing_Depth__ft&gt;0, Surface_Casing__size_wt,Prod_csg__size_wt)&amp;" casing head, restrain the casing head, pressure test CIBP to 500 psi with hydrotest pump, then remove night cap and casing head restraints."</f>
        <v>#REF!</v>
      </c>
      <c r="C36" s="209"/>
    </row>
    <row r="37" spans="1:3">
      <c r="A37" s="510">
        <v>30</v>
      </c>
      <c r="B37" s="513" t="s">
        <v>90</v>
      </c>
    </row>
    <row r="38" spans="1:3">
      <c r="A38" s="510">
        <v>31</v>
      </c>
      <c r="B38" s="511" t="s">
        <v>91</v>
      </c>
    </row>
    <row r="39" spans="1:3">
      <c r="A39" s="510">
        <v>32</v>
      </c>
      <c r="B39" s="511" t="e">
        <f>"Fill "&amp;IF(Cut_Casing_Depth__ft&lt;&gt;0,"","production and surface ")&amp;"casing to surface using 4500 psi compressive strength cement (NO gravel)."</f>
        <v>#REF!</v>
      </c>
    </row>
    <row r="40" spans="1:3" ht="28.8">
      <c r="A40" s="510">
        <v>33</v>
      </c>
      <c r="B40" s="511" t="s">
        <v>92</v>
      </c>
    </row>
    <row r="41" spans="1:3">
      <c r="A41" s="510">
        <v>34</v>
      </c>
      <c r="B41" s="511" t="s">
        <v>93</v>
      </c>
    </row>
    <row r="42" spans="1:3">
      <c r="A42" s="510">
        <v>35</v>
      </c>
      <c r="B42" s="511" t="s">
        <v>94</v>
      </c>
    </row>
    <row r="43" spans="1:3">
      <c r="A43" s="510">
        <v>36</v>
      </c>
      <c r="B43" s="511" t="s">
        <v>95</v>
      </c>
    </row>
    <row r="44" spans="1:3">
      <c r="A44" s="510">
        <v>37</v>
      </c>
      <c r="B44" s="511" t="s">
        <v>96</v>
      </c>
    </row>
    <row r="45" spans="1:3">
      <c r="A45" s="236"/>
    </row>
    <row r="46" spans="1:3">
      <c r="A46" s="236"/>
      <c r="B46" s="321" t="e">
        <f>"FHM: "&amp;FHM__ft&amp;"'; Sussex Top: "&amp;Sussex_Top__ft&amp;"'; Sussex Base: "&amp;Sussex_Base__ft&amp;"'; Shannon Base: "&amp;IF(Shannon_Base__ft&lt;&gt;"Absent",Shannon_Base__ft&amp;"'","Absent")&amp;"; Niobrara Top: "&amp;Niobrara_Top__ft&amp;"'"</f>
        <v>#REF!</v>
      </c>
    </row>
    <row r="47" spans="1:3">
      <c r="A47" s="236"/>
      <c r="B47" s="321" t="e">
        <f>IF(Gyro_Found__Y_N="Y","WELL HAS "&amp;IF(GYRO_DIR="GYRO","GYRO.  ","DIRECTIONAL SURVEY.  ")&amp;IF(GYRO_DIR="GYRO","Gyro","Directional Survey")&amp;" was run on "&amp;TEXT(Gyro_Date,"MM/DD/YY")&amp;".","GYRO IS NEEDED")</f>
        <v>#REF!</v>
      </c>
    </row>
    <row r="48" spans="1:3">
      <c r="A48" s="236"/>
      <c r="B48" s="321" t="e">
        <f>IF(Details_of_Integrity_Issues?="None","No known casing integrity issues.",Details_of_Integrity_Issues?)</f>
        <v>#REF!</v>
      </c>
    </row>
    <row r="49" spans="1:2">
      <c r="A49" s="236"/>
      <c r="B49" s="321" t="e">
        <f>IF(AND(SUSX_SH_Productive?__Y_N="Y", SH_Productive?__Y_N="Y"),"SUSSEX/SHANNON PRODUCTIVE WITHIN 1 MILE",IF(AND(SUSX_SH_Productive?__Y_N="Y",SH_Productive?__Y_N="N"),"SUSSEX PRODUCTIVE WITHIN 1 MILE",IF(AND(SUSX_SH_Productive?__Y_N="N", SH_Productive?__Y_N="Y"),"SHANNON PRODUCTIVE WITHIN 1 MILE","SUSSEX/SHANNON NOT PRODUCTIVE WITHIN 1 MILE")))</f>
        <v>#REF!</v>
      </c>
    </row>
    <row r="50" spans="1:2">
      <c r="A50" s="236"/>
      <c r="B50" s="321" t="e">
        <f>"Well was drilled by "&amp;Who_Drilled_Well?&amp;"."</f>
        <v>#REF!</v>
      </c>
    </row>
    <row r="51" spans="1:2">
      <c r="A51" s="236"/>
      <c r="B51" s="321" t="e">
        <f>IF(Straight_or_Deviated_Hole?="Straight","Straight","Deviated")&amp;" hole."</f>
        <v>#REF!</v>
      </c>
    </row>
    <row r="52" spans="1:2">
      <c r="A52" s="236"/>
    </row>
    <row r="53" spans="1:2">
      <c r="A53" s="236"/>
    </row>
    <row r="54" spans="1:2">
      <c r="A54" s="236"/>
      <c r="B54" s="9"/>
    </row>
    <row r="55" spans="1:2">
      <c r="A55" s="236"/>
      <c r="B55" s="9"/>
    </row>
    <row r="56" spans="1:2">
      <c r="A56" s="236"/>
      <c r="B56" s="9"/>
    </row>
    <row r="57" spans="1:2">
      <c r="A57" s="236"/>
      <c r="B57" s="9"/>
    </row>
    <row r="58" spans="1:2">
      <c r="A58" s="236"/>
      <c r="B58" s="9"/>
    </row>
    <row r="59" spans="1:2">
      <c r="A59" s="236"/>
      <c r="B59" s="9"/>
    </row>
    <row r="60" spans="1:2">
      <c r="A60" s="236"/>
      <c r="B60" s="9"/>
    </row>
    <row r="61" spans="1:2">
      <c r="A61" s="236"/>
      <c r="B61" s="9"/>
    </row>
    <row r="62" spans="1:2">
      <c r="A62" s="236"/>
      <c r="B62" s="9"/>
    </row>
    <row r="63" spans="1:2">
      <c r="A63" s="236"/>
      <c r="B63" s="9"/>
    </row>
    <row r="64" spans="1:2">
      <c r="A64" s="236"/>
      <c r="B64" s="9"/>
    </row>
    <row r="65" spans="1:2">
      <c r="A65" s="236"/>
      <c r="B65" s="9"/>
    </row>
    <row r="66" spans="1:2">
      <c r="A66" s="236"/>
      <c r="B66" s="9"/>
    </row>
    <row r="67" spans="1:2">
      <c r="A67" s="236"/>
      <c r="B67" s="9"/>
    </row>
    <row r="68" spans="1:2">
      <c r="A68" s="236"/>
      <c r="B68" s="9"/>
    </row>
    <row r="69" spans="1:2">
      <c r="A69" s="236"/>
      <c r="B69" s="9"/>
    </row>
    <row r="70" spans="1:2">
      <c r="A70" s="236"/>
      <c r="B70" s="9"/>
    </row>
    <row r="71" spans="1:2">
      <c r="A71" s="236"/>
      <c r="B71" s="9"/>
    </row>
    <row r="72" spans="1:2">
      <c r="A72" s="236"/>
      <c r="B72" s="9"/>
    </row>
    <row r="73" spans="1:2">
      <c r="A73" s="236"/>
      <c r="B73" s="9"/>
    </row>
    <row r="74" spans="1:2">
      <c r="A74" s="236"/>
      <c r="B74" s="9"/>
    </row>
    <row r="75" spans="1:2">
      <c r="A75" s="236"/>
      <c r="B75" s="9"/>
    </row>
    <row r="76" spans="1:2">
      <c r="A76" s="236"/>
      <c r="B76" s="9"/>
    </row>
    <row r="77" spans="1:2">
      <c r="A77" s="236"/>
      <c r="B77" s="9"/>
    </row>
    <row r="78" spans="1:2">
      <c r="A78" s="236"/>
      <c r="B78" s="9"/>
    </row>
    <row r="79" spans="1:2">
      <c r="A79" s="236"/>
      <c r="B79" s="9"/>
    </row>
    <row r="80" spans="1:2">
      <c r="A80" s="236"/>
      <c r="B80" s="9"/>
    </row>
    <row r="81" spans="1:2">
      <c r="A81" s="236"/>
      <c r="B81" s="9"/>
    </row>
    <row r="82" spans="1:2">
      <c r="A82" s="236"/>
      <c r="B82" s="9"/>
    </row>
    <row r="83" spans="1:2">
      <c r="A83" s="236"/>
      <c r="B83" s="9"/>
    </row>
    <row r="84" spans="1:2">
      <c r="A84" s="236"/>
      <c r="B84" s="9"/>
    </row>
    <row r="85" spans="1:2">
      <c r="A85" s="236"/>
      <c r="B85" s="9"/>
    </row>
    <row r="86" spans="1:2">
      <c r="A86" s="236"/>
      <c r="B86" s="9"/>
    </row>
    <row r="87" spans="1:2">
      <c r="A87" s="236"/>
      <c r="B87" s="9"/>
    </row>
    <row r="88" spans="1:2">
      <c r="A88" s="236"/>
      <c r="B88" s="9"/>
    </row>
    <row r="89" spans="1:2">
      <c r="A89" s="236"/>
      <c r="B89" s="9"/>
    </row>
    <row r="90" spans="1:2">
      <c r="A90" s="236"/>
      <c r="B90" s="9"/>
    </row>
    <row r="91" spans="1:2">
      <c r="A91" s="236"/>
      <c r="B91" s="9"/>
    </row>
    <row r="92" spans="1:2">
      <c r="A92" s="236"/>
      <c r="B92" s="9"/>
    </row>
    <row r="93" spans="1:2">
      <c r="A93" s="236"/>
      <c r="B93" s="9"/>
    </row>
    <row r="94" spans="1:2">
      <c r="A94" s="236"/>
      <c r="B94" s="9"/>
    </row>
    <row r="95" spans="1:2">
      <c r="A95" s="236"/>
      <c r="B95" s="9"/>
    </row>
    <row r="96" spans="1:2">
      <c r="A96" s="236"/>
      <c r="B96" s="9"/>
    </row>
    <row r="97" spans="1:2">
      <c r="A97" s="236"/>
      <c r="B97" s="9"/>
    </row>
    <row r="98" spans="1:2">
      <c r="A98" s="236"/>
      <c r="B98" s="9"/>
    </row>
    <row r="99" spans="1:2">
      <c r="A99" s="236"/>
      <c r="B99" s="9"/>
    </row>
    <row r="100" spans="1:2">
      <c r="A100" s="509"/>
      <c r="B100" s="9"/>
    </row>
    <row r="101" spans="1:2">
      <c r="A101" s="509"/>
      <c r="B101" s="9"/>
    </row>
    <row r="102" spans="1:2">
      <c r="A102" s="509"/>
      <c r="B102" s="9"/>
    </row>
    <row r="103" spans="1:2">
      <c r="A103" s="509"/>
      <c r="B103" s="9"/>
    </row>
    <row r="104" spans="1:2">
      <c r="A104" s="509"/>
      <c r="B104" s="9"/>
    </row>
    <row r="105" spans="1:2">
      <c r="A105" s="509"/>
      <c r="B105" s="9"/>
    </row>
    <row r="106" spans="1:2">
      <c r="B106" s="9"/>
    </row>
    <row r="107" spans="1:2">
      <c r="B107" s="9"/>
    </row>
    <row r="108" spans="1:2">
      <c r="B108" s="9"/>
    </row>
    <row r="109" spans="1:2">
      <c r="B109" s="9"/>
    </row>
    <row r="110" spans="1:2">
      <c r="B110" s="9"/>
    </row>
    <row r="111" spans="1:2">
      <c r="B111" s="9"/>
    </row>
    <row r="112" spans="1:2">
      <c r="B112" s="9"/>
    </row>
    <row r="113" spans="2:2">
      <c r="B113" s="9"/>
    </row>
    <row r="114" spans="2:2">
      <c r="B114" s="9"/>
    </row>
    <row r="115" spans="2:2">
      <c r="B115" s="9"/>
    </row>
    <row r="116" spans="2:2">
      <c r="B116" s="9"/>
    </row>
    <row r="117" spans="2:2">
      <c r="B117" s="9"/>
    </row>
    <row r="118" spans="2:2">
      <c r="B118" s="9"/>
    </row>
    <row r="119" spans="2:2">
      <c r="B119" s="9"/>
    </row>
    <row r="120" spans="2:2">
      <c r="B120" s="9"/>
    </row>
    <row r="121" spans="2:2">
      <c r="B121" s="9"/>
    </row>
    <row r="122" spans="2:2">
      <c r="B122" s="9"/>
    </row>
    <row r="123" spans="2:2">
      <c r="B123" s="9"/>
    </row>
    <row r="124" spans="2:2">
      <c r="B124" s="9"/>
    </row>
    <row r="125" spans="2:2">
      <c r="B125" s="9"/>
    </row>
    <row r="126" spans="2:2">
      <c r="B126" s="9"/>
    </row>
    <row r="127" spans="2:2">
      <c r="B127" s="9"/>
    </row>
    <row r="128" spans="2:2">
      <c r="B128" s="9"/>
    </row>
    <row r="129" spans="2:2">
      <c r="B129" s="9"/>
    </row>
    <row r="130" spans="2:2">
      <c r="B130" s="9"/>
    </row>
    <row r="131" spans="2:2">
      <c r="B131" s="9"/>
    </row>
    <row r="132" spans="2:2">
      <c r="B132" s="9"/>
    </row>
    <row r="133" spans="2:2">
      <c r="B133" s="9"/>
    </row>
    <row r="134" spans="2:2">
      <c r="B134" s="9"/>
    </row>
    <row r="135" spans="2:2">
      <c r="B135" s="9"/>
    </row>
    <row r="136" spans="2:2">
      <c r="B136" s="9"/>
    </row>
    <row r="137" spans="2:2">
      <c r="B137" s="9"/>
    </row>
    <row r="138" spans="2:2">
      <c r="B138" s="9"/>
    </row>
    <row r="139" spans="2:2">
      <c r="B139" s="9"/>
    </row>
    <row r="140" spans="2:2">
      <c r="B140" s="9"/>
    </row>
    <row r="141" spans="2:2">
      <c r="B141" s="9"/>
    </row>
    <row r="142" spans="2:2">
      <c r="B142" s="9"/>
    </row>
    <row r="143" spans="2:2">
      <c r="B143" s="9"/>
    </row>
    <row r="144" spans="2:2">
      <c r="B144" s="9"/>
    </row>
    <row r="145" spans="2:2">
      <c r="B145" s="9"/>
    </row>
  </sheetData>
  <conditionalFormatting sqref="B27:B28">
    <cfRule type="expression" dxfId="5" priority="6">
      <formula>IF(Stub_Lower_CIBP__ft&lt;&gt;0,"TRUE","FALSE")</formula>
    </cfRule>
  </conditionalFormatting>
  <conditionalFormatting sqref="B22">
    <cfRule type="expression" dxfId="4" priority="3">
      <formula>IF(Cut_Casing_Depth__ft=0,"TRUE","FALSE")</formula>
    </cfRule>
  </conditionalFormatting>
  <conditionalFormatting sqref="B23:B26">
    <cfRule type="expression" dxfId="3" priority="2">
      <formula>IF(Cut_Casing_Depth__ft=0,"TRUE","FALSE")</formula>
    </cfRule>
  </conditionalFormatting>
  <conditionalFormatting sqref="B23:B26">
    <cfRule type="expression" dxfId="2" priority="1">
      <formula>IF(Stub_Lower_CIBP__ft&lt;&gt;0,"TRUE","FALSE")</formula>
    </cfRule>
  </conditionalFormatting>
  <pageMargins left="0.25" right="0.25" top="0.75" bottom="0.75" header="0.3" footer="0.3"/>
  <pageSetup scale="92" fitToWidth="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217" r:id="rId4" name="Button 1">
              <controlPr defaultSize="0" print="0" autoFill="0" autoPict="0" macro="[0]!Adjust">
                <anchor moveWithCells="1" sizeWithCells="1">
                  <from>
                    <xdr:col>3</xdr:col>
                    <xdr:colOff>83820</xdr:colOff>
                    <xdr:row>2</xdr:row>
                    <xdr:rowOff>76200</xdr:rowOff>
                  </from>
                  <to>
                    <xdr:col>4</xdr:col>
                    <xdr:colOff>556260</xdr:colOff>
                    <xdr:row>4</xdr:row>
                    <xdr:rowOff>114300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theme="9" tint="-0.249977111117893"/>
    <pageSetUpPr fitToPage="1"/>
  </sheetPr>
  <dimension ref="A1:X77"/>
  <sheetViews>
    <sheetView showGridLines="0" showOutlineSymbols="0" topLeftCell="A37" zoomScaleNormal="100" workbookViewId="0">
      <selection activeCell="P65" sqref="P65:Q65"/>
    </sheetView>
  </sheetViews>
  <sheetFormatPr defaultColWidth="7.44140625" defaultRowHeight="10.199999999999999"/>
  <cols>
    <col min="1" max="1" width="4.33203125" style="83" customWidth="1"/>
    <col min="2" max="2" width="4.44140625" style="83" customWidth="1"/>
    <col min="3" max="3" width="11.44140625" style="83" customWidth="1"/>
    <col min="4" max="4" width="6.5546875" style="83" customWidth="1"/>
    <col min="5" max="5" width="5.109375" style="83" customWidth="1"/>
    <col min="6" max="6" width="5" style="83" customWidth="1"/>
    <col min="7" max="7" width="5.44140625" style="83" customWidth="1"/>
    <col min="8" max="8" width="3.88671875" style="83" customWidth="1"/>
    <col min="9" max="9" width="4.6640625" style="83" customWidth="1"/>
    <col min="10" max="10" width="4.88671875" style="83" customWidth="1"/>
    <col min="11" max="11" width="5.5546875" style="83" customWidth="1"/>
    <col min="12" max="12" width="5.109375" style="83" customWidth="1"/>
    <col min="13" max="13" width="3.6640625" style="83" customWidth="1"/>
    <col min="14" max="14" width="4.33203125" style="83" customWidth="1"/>
    <col min="15" max="15" width="4" style="83" customWidth="1"/>
    <col min="16" max="16" width="3.33203125" style="83" customWidth="1"/>
    <col min="17" max="17" width="9.44140625" style="83" customWidth="1"/>
    <col min="18" max="18" width="3.44140625" style="83" customWidth="1"/>
    <col min="19" max="19" width="6.33203125" style="83" customWidth="1"/>
    <col min="20" max="20" width="3.33203125" style="83" customWidth="1"/>
    <col min="21" max="21" width="4.5546875" style="83" customWidth="1"/>
    <col min="22" max="22" width="4.44140625" style="83" customWidth="1"/>
    <col min="23" max="16384" width="7.44140625" style="83"/>
  </cols>
  <sheetData>
    <row r="1" spans="1:22" ht="18.75" customHeight="1">
      <c r="A1" s="601" t="s">
        <v>324</v>
      </c>
      <c r="B1" s="601"/>
      <c r="C1" s="601"/>
      <c r="D1" s="601"/>
      <c r="E1" s="601"/>
      <c r="F1" s="601"/>
      <c r="G1" s="601"/>
      <c r="H1" s="601"/>
      <c r="I1" s="601"/>
      <c r="J1" s="601"/>
      <c r="K1" s="601"/>
      <c r="L1" s="601"/>
      <c r="M1" s="601"/>
      <c r="N1" s="601"/>
      <c r="O1" s="602"/>
      <c r="P1" s="528"/>
      <c r="Q1" s="529" t="s">
        <v>323</v>
      </c>
      <c r="R1" s="530"/>
      <c r="S1" s="530"/>
      <c r="T1" s="530"/>
      <c r="U1" s="530"/>
      <c r="V1" s="531"/>
    </row>
    <row r="2" spans="1:22" ht="17.25" customHeight="1">
      <c r="A2" s="601" t="s">
        <v>322</v>
      </c>
      <c r="B2" s="601"/>
      <c r="C2" s="601"/>
      <c r="D2" s="601"/>
      <c r="E2" s="601"/>
      <c r="F2" s="601"/>
      <c r="G2" s="601"/>
      <c r="H2" s="601"/>
      <c r="I2" s="601"/>
      <c r="J2" s="601"/>
      <c r="K2" s="601"/>
      <c r="L2" s="601"/>
      <c r="M2" s="601"/>
      <c r="N2" s="601"/>
      <c r="O2" s="602"/>
      <c r="P2" s="532"/>
      <c r="Q2" s="533"/>
      <c r="R2" s="534"/>
      <c r="S2" s="534"/>
      <c r="T2" s="534"/>
      <c r="U2" s="534"/>
      <c r="V2" s="535"/>
    </row>
    <row r="3" spans="1:22" ht="17.25" customHeight="1">
      <c r="A3" s="600" t="s">
        <v>321</v>
      </c>
      <c r="B3" s="600"/>
      <c r="C3" s="600"/>
      <c r="D3" s="600"/>
      <c r="E3" s="600"/>
      <c r="F3" s="600"/>
      <c r="G3" s="600"/>
      <c r="H3" s="600"/>
      <c r="I3" s="600"/>
      <c r="J3" s="600"/>
      <c r="K3" s="600"/>
      <c r="L3" s="600"/>
      <c r="M3" s="601"/>
      <c r="N3" s="601"/>
      <c r="O3" s="602"/>
      <c r="P3" s="532"/>
      <c r="Q3" s="532" t="s">
        <v>320</v>
      </c>
      <c r="R3" s="532"/>
      <c r="S3" s="532"/>
      <c r="T3" s="532"/>
      <c r="U3" s="532"/>
      <c r="V3" s="535"/>
    </row>
    <row r="4" spans="1:22" ht="18" customHeight="1">
      <c r="A4" s="610" t="s">
        <v>319</v>
      </c>
      <c r="B4" s="610"/>
      <c r="C4" s="610"/>
      <c r="D4" s="610"/>
      <c r="E4" s="610"/>
      <c r="F4" s="610"/>
      <c r="G4" s="610"/>
      <c r="H4" s="610"/>
      <c r="I4" s="610"/>
      <c r="J4" s="610"/>
      <c r="K4" s="610"/>
      <c r="L4" s="610"/>
      <c r="M4" s="610"/>
      <c r="N4" s="610"/>
      <c r="O4" s="611"/>
      <c r="P4" s="532"/>
      <c r="Q4" s="532" t="s">
        <v>318</v>
      </c>
      <c r="R4" s="532"/>
      <c r="S4" s="532"/>
      <c r="T4" s="532"/>
      <c r="U4" s="532"/>
      <c r="V4" s="535"/>
    </row>
    <row r="5" spans="1:22" ht="15" customHeight="1">
      <c r="A5" s="606"/>
      <c r="B5" s="606"/>
      <c r="C5" s="606"/>
      <c r="D5" s="606"/>
      <c r="E5" s="606"/>
      <c r="F5" s="606"/>
      <c r="G5" s="606"/>
      <c r="H5" s="606"/>
      <c r="I5" s="606"/>
      <c r="J5" s="606"/>
      <c r="K5" s="606"/>
      <c r="L5" s="606"/>
      <c r="M5" s="606"/>
      <c r="N5" s="606"/>
      <c r="O5" s="607"/>
      <c r="P5" s="532"/>
      <c r="Q5" s="532" t="s">
        <v>317</v>
      </c>
      <c r="R5" s="532"/>
      <c r="S5" s="532"/>
      <c r="T5" s="532"/>
      <c r="U5" s="532"/>
      <c r="V5" s="535"/>
    </row>
    <row r="6" spans="1:22" ht="15" customHeight="1">
      <c r="A6" s="606"/>
      <c r="B6" s="606"/>
      <c r="C6" s="606"/>
      <c r="D6" s="606"/>
      <c r="E6" s="606"/>
      <c r="F6" s="606"/>
      <c r="G6" s="606"/>
      <c r="H6" s="606"/>
      <c r="I6" s="606"/>
      <c r="J6" s="606"/>
      <c r="K6" s="606"/>
      <c r="L6" s="606"/>
      <c r="M6" s="606"/>
      <c r="N6" s="606"/>
      <c r="O6" s="607"/>
      <c r="P6" s="532"/>
      <c r="Q6" s="532" t="s">
        <v>316</v>
      </c>
      <c r="R6" s="532"/>
      <c r="S6" s="532"/>
      <c r="T6" s="532"/>
      <c r="U6" s="532"/>
      <c r="V6" s="535"/>
    </row>
    <row r="7" spans="1:22" ht="15" customHeight="1">
      <c r="A7" s="606"/>
      <c r="B7" s="606"/>
      <c r="C7" s="606"/>
      <c r="D7" s="606"/>
      <c r="E7" s="606"/>
      <c r="F7" s="606"/>
      <c r="G7" s="606"/>
      <c r="H7" s="606"/>
      <c r="I7" s="606"/>
      <c r="J7" s="606"/>
      <c r="K7" s="606"/>
      <c r="L7" s="606"/>
      <c r="M7" s="606"/>
      <c r="N7" s="606"/>
      <c r="O7" s="607"/>
      <c r="P7" s="532"/>
      <c r="Q7" s="532"/>
      <c r="R7" s="532"/>
      <c r="S7" s="532"/>
      <c r="T7" s="532"/>
      <c r="U7" s="532"/>
      <c r="V7" s="535"/>
    </row>
    <row r="8" spans="1:22" ht="15" customHeight="1">
      <c r="A8" s="606"/>
      <c r="B8" s="606"/>
      <c r="C8" s="606"/>
      <c r="D8" s="606"/>
      <c r="E8" s="606"/>
      <c r="F8" s="606"/>
      <c r="G8" s="606"/>
      <c r="H8" s="606"/>
      <c r="I8" s="606"/>
      <c r="J8" s="606"/>
      <c r="K8" s="606"/>
      <c r="L8" s="606"/>
      <c r="M8" s="606"/>
      <c r="N8" s="606"/>
      <c r="O8" s="607"/>
      <c r="P8" s="536"/>
      <c r="Q8" s="536"/>
      <c r="R8" s="536"/>
      <c r="S8" s="536"/>
      <c r="T8" s="536"/>
      <c r="U8" s="536"/>
      <c r="V8" s="537"/>
    </row>
    <row r="9" spans="1:22" ht="4.5" customHeight="1">
      <c r="A9" s="662"/>
      <c r="B9" s="662"/>
      <c r="C9" s="662"/>
      <c r="D9" s="662"/>
      <c r="E9" s="662"/>
      <c r="F9" s="662"/>
      <c r="G9" s="662"/>
      <c r="H9" s="662"/>
      <c r="I9" s="662"/>
      <c r="J9" s="662"/>
      <c r="K9" s="662"/>
      <c r="L9" s="662"/>
      <c r="M9" s="662"/>
      <c r="N9" s="662"/>
      <c r="O9" s="662"/>
      <c r="P9" s="650"/>
      <c r="Q9" s="650"/>
      <c r="R9" s="650"/>
      <c r="S9" s="650"/>
      <c r="T9" s="650"/>
      <c r="U9" s="650"/>
      <c r="V9" s="650"/>
    </row>
    <row r="10" spans="1:22" ht="13.5" customHeight="1">
      <c r="A10" s="615" t="s">
        <v>315</v>
      </c>
      <c r="B10" s="616"/>
      <c r="C10" s="616"/>
      <c r="D10" s="617" t="s">
        <v>314</v>
      </c>
      <c r="E10" s="617"/>
      <c r="F10" s="617"/>
      <c r="G10" s="538"/>
      <c r="H10" s="538"/>
      <c r="I10" s="538"/>
      <c r="J10" s="539"/>
      <c r="K10" s="612" t="s">
        <v>313</v>
      </c>
      <c r="L10" s="613"/>
      <c r="M10" s="613"/>
      <c r="N10" s="613"/>
      <c r="O10" s="614"/>
    </row>
    <row r="11" spans="1:22" ht="13.5" customHeight="1">
      <c r="A11" s="521" t="s">
        <v>312</v>
      </c>
      <c r="B11" s="522"/>
      <c r="C11" s="98"/>
      <c r="D11" s="520" t="s">
        <v>311</v>
      </c>
      <c r="E11" s="97"/>
      <c r="F11" s="97"/>
      <c r="G11" s="97"/>
      <c r="H11" s="97"/>
      <c r="I11" s="97"/>
      <c r="J11" s="96"/>
      <c r="K11" s="603"/>
      <c r="L11" s="604"/>
      <c r="M11" s="604"/>
      <c r="N11" s="604"/>
      <c r="O11" s="605"/>
    </row>
    <row r="12" spans="1:22" ht="13.5" customHeight="1">
      <c r="A12" s="618" t="s">
        <v>310</v>
      </c>
      <c r="B12" s="619"/>
      <c r="C12" s="608" t="s">
        <v>309</v>
      </c>
      <c r="D12" s="608"/>
      <c r="E12" s="608"/>
      <c r="F12" s="608"/>
      <c r="G12" s="608"/>
      <c r="H12" s="608"/>
      <c r="I12" s="608"/>
      <c r="J12" s="609"/>
      <c r="K12" s="521"/>
      <c r="L12" s="604"/>
      <c r="M12" s="604"/>
      <c r="N12" s="604"/>
      <c r="O12" s="605"/>
      <c r="Q12" s="84"/>
    </row>
    <row r="13" spans="1:22" ht="13.5" customHeight="1">
      <c r="A13" s="92" t="s">
        <v>308</v>
      </c>
      <c r="B13" s="667" t="s">
        <v>307</v>
      </c>
      <c r="C13" s="667"/>
      <c r="D13" s="667"/>
      <c r="E13" s="667"/>
      <c r="F13" s="95" t="s">
        <v>306</v>
      </c>
      <c r="G13" s="94" t="s">
        <v>305</v>
      </c>
      <c r="H13" s="93" t="s">
        <v>304</v>
      </c>
      <c r="I13" s="673" t="s">
        <v>303</v>
      </c>
      <c r="J13" s="674"/>
      <c r="K13" s="92"/>
      <c r="L13" s="673"/>
      <c r="M13" s="673"/>
      <c r="N13" s="673"/>
      <c r="O13" s="674"/>
      <c r="Q13" s="84"/>
      <c r="R13" s="84"/>
      <c r="S13" s="84"/>
      <c r="T13" s="84"/>
      <c r="U13" s="84"/>
      <c r="V13" s="84"/>
    </row>
    <row r="14" spans="1:22" ht="17.25" customHeight="1">
      <c r="A14" s="540" t="s">
        <v>302</v>
      </c>
      <c r="B14" s="541"/>
      <c r="C14" s="666" t="s">
        <v>673</v>
      </c>
      <c r="D14" s="666"/>
      <c r="E14" s="625"/>
      <c r="F14" s="625"/>
      <c r="G14" s="625"/>
      <c r="H14" s="626"/>
      <c r="I14" s="626"/>
      <c r="J14" s="626"/>
      <c r="K14" s="675"/>
      <c r="L14" s="675"/>
      <c r="M14" s="675"/>
      <c r="N14" s="542"/>
      <c r="O14" s="543"/>
    </row>
    <row r="15" spans="1:22" ht="9.75" customHeight="1">
      <c r="A15" s="618" t="s">
        <v>301</v>
      </c>
      <c r="B15" s="619"/>
      <c r="C15" s="668" t="s">
        <v>682</v>
      </c>
      <c r="D15" s="668"/>
      <c r="E15" s="668"/>
      <c r="F15" s="668"/>
      <c r="G15" s="668"/>
      <c r="H15" s="668"/>
      <c r="I15" s="671" t="s">
        <v>300</v>
      </c>
      <c r="J15" s="671"/>
      <c r="K15" s="678" t="s">
        <v>683</v>
      </c>
      <c r="L15" s="678"/>
      <c r="M15" s="678"/>
      <c r="N15" s="678"/>
      <c r="O15" s="679"/>
    </row>
    <row r="16" spans="1:22" ht="9.75" customHeight="1">
      <c r="A16" s="618"/>
      <c r="B16" s="619"/>
      <c r="C16" s="668"/>
      <c r="D16" s="668"/>
      <c r="E16" s="668"/>
      <c r="F16" s="668"/>
      <c r="G16" s="668"/>
      <c r="H16" s="668"/>
      <c r="I16" s="671"/>
      <c r="J16" s="671"/>
      <c r="K16" s="678"/>
      <c r="L16" s="678"/>
      <c r="M16" s="678"/>
      <c r="N16" s="678"/>
      <c r="O16" s="679"/>
    </row>
    <row r="17" spans="1:22" ht="9.75" customHeight="1">
      <c r="A17" s="618"/>
      <c r="B17" s="619"/>
      <c r="C17" s="619"/>
      <c r="D17" s="619"/>
      <c r="E17" s="619"/>
      <c r="F17" s="672"/>
      <c r="G17" s="672"/>
      <c r="H17" s="672"/>
      <c r="I17" s="672"/>
      <c r="J17" s="672"/>
      <c r="K17" s="672"/>
      <c r="L17" s="672"/>
      <c r="M17" s="672"/>
      <c r="N17" s="672"/>
      <c r="O17" s="672"/>
      <c r="P17" s="91"/>
    </row>
    <row r="18" spans="1:22" ht="2.25" customHeight="1">
      <c r="A18" s="663"/>
      <c r="B18" s="664"/>
      <c r="C18" s="664"/>
      <c r="D18" s="664"/>
      <c r="E18" s="664"/>
      <c r="F18" s="664"/>
      <c r="G18" s="664"/>
      <c r="H18" s="664"/>
      <c r="I18" s="664"/>
      <c r="J18" s="664"/>
      <c r="K18" s="664"/>
      <c r="L18" s="664"/>
      <c r="M18" s="664"/>
      <c r="N18" s="664"/>
      <c r="O18" s="664"/>
      <c r="P18" s="669"/>
      <c r="Q18" s="670"/>
      <c r="R18" s="670"/>
      <c r="S18" s="670"/>
      <c r="T18" s="670"/>
      <c r="U18" s="544"/>
      <c r="V18" s="545"/>
    </row>
    <row r="19" spans="1:22" ht="3" customHeight="1">
      <c r="A19" s="676"/>
      <c r="B19" s="676"/>
      <c r="C19" s="676"/>
      <c r="D19" s="676"/>
      <c r="E19" s="676"/>
      <c r="F19" s="676"/>
      <c r="G19" s="676"/>
      <c r="H19" s="676"/>
      <c r="I19" s="676"/>
      <c r="J19" s="676"/>
      <c r="K19" s="665"/>
      <c r="L19" s="665"/>
      <c r="M19" s="665"/>
      <c r="N19" s="665"/>
      <c r="O19" s="665"/>
      <c r="P19" s="665"/>
      <c r="Q19" s="665"/>
      <c r="R19" s="665"/>
      <c r="S19" s="665"/>
      <c r="T19" s="665"/>
      <c r="U19" s="665"/>
      <c r="V19" s="665"/>
    </row>
    <row r="20" spans="1:22" ht="14.4" customHeight="1">
      <c r="A20" s="677" t="s">
        <v>248</v>
      </c>
      <c r="B20" s="677"/>
      <c r="C20" s="633" t="s">
        <v>299</v>
      </c>
      <c r="D20" s="633"/>
      <c r="E20" s="633"/>
      <c r="F20" s="633"/>
      <c r="G20" s="633"/>
      <c r="H20" s="633"/>
      <c r="I20" s="633"/>
      <c r="J20" s="633"/>
      <c r="K20" s="546"/>
      <c r="L20" s="633"/>
      <c r="M20" s="633"/>
      <c r="N20" s="633"/>
      <c r="O20" s="633"/>
      <c r="P20" s="633"/>
      <c r="Q20" s="633"/>
      <c r="R20" s="633"/>
      <c r="S20" s="633"/>
      <c r="T20" s="633"/>
      <c r="U20" s="633"/>
      <c r="V20" s="633"/>
    </row>
    <row r="21" spans="1:22" ht="3" customHeight="1">
      <c r="A21" s="630"/>
      <c r="B21" s="630"/>
      <c r="C21" s="630"/>
      <c r="D21" s="630"/>
      <c r="E21" s="630"/>
      <c r="F21" s="630"/>
      <c r="G21" s="630"/>
      <c r="H21" s="630"/>
      <c r="I21" s="630"/>
      <c r="J21" s="630"/>
      <c r="K21" s="630"/>
      <c r="L21" s="630"/>
      <c r="M21" s="630"/>
      <c r="N21" s="630"/>
      <c r="O21" s="630"/>
      <c r="P21" s="630"/>
      <c r="Q21" s="630"/>
      <c r="R21" s="630"/>
      <c r="S21" s="630"/>
      <c r="T21" s="630"/>
      <c r="U21" s="630"/>
      <c r="V21" s="630"/>
    </row>
    <row r="22" spans="1:22" ht="7.5" customHeight="1">
      <c r="A22" s="547"/>
      <c r="B22" s="548"/>
      <c r="C22" s="548"/>
      <c r="D22" s="548"/>
      <c r="E22" s="549"/>
      <c r="F22" s="549"/>
      <c r="G22" s="550"/>
      <c r="H22" s="548"/>
      <c r="I22" s="548"/>
      <c r="J22" s="548"/>
      <c r="K22" s="548"/>
      <c r="L22" s="548"/>
      <c r="M22" s="548"/>
      <c r="N22" s="548"/>
      <c r="O22" s="548"/>
      <c r="P22" s="548"/>
      <c r="Q22" s="548"/>
      <c r="R22" s="548"/>
      <c r="S22" s="548"/>
      <c r="T22" s="548"/>
      <c r="U22" s="548"/>
      <c r="V22" s="551"/>
    </row>
    <row r="23" spans="1:22" ht="13.5" customHeight="1">
      <c r="A23" s="680" t="s">
        <v>298</v>
      </c>
      <c r="B23" s="681"/>
      <c r="C23" s="681"/>
      <c r="D23" s="642"/>
      <c r="E23" s="642"/>
      <c r="F23" s="629" t="s">
        <v>248</v>
      </c>
      <c r="G23" s="629"/>
      <c r="H23" s="629"/>
      <c r="I23" s="629"/>
      <c r="J23" s="629"/>
      <c r="K23" s="629"/>
      <c r="L23" s="629"/>
      <c r="M23" s="629"/>
      <c r="N23" s="629"/>
      <c r="O23" s="629"/>
      <c r="P23" s="629"/>
      <c r="Q23" s="523"/>
      <c r="R23" s="629" t="s">
        <v>297</v>
      </c>
      <c r="S23" s="629"/>
      <c r="T23" s="629"/>
      <c r="U23" s="629"/>
      <c r="V23" s="552"/>
    </row>
    <row r="24" spans="1:22" ht="13.5" customHeight="1">
      <c r="A24" s="627" t="s">
        <v>296</v>
      </c>
      <c r="B24" s="628"/>
      <c r="C24" s="628"/>
      <c r="D24" s="641" t="str">
        <f>IF(M24&gt;0,"X","")</f>
        <v/>
      </c>
      <c r="E24" s="641"/>
      <c r="F24" s="523" t="str">
        <f>IF(M24&gt;0,"","X")</f>
        <v>X</v>
      </c>
      <c r="G24" s="523"/>
      <c r="H24" s="523"/>
      <c r="I24" s="690" t="s">
        <v>295</v>
      </c>
      <c r="J24" s="629"/>
      <c r="K24" s="629"/>
      <c r="L24" s="523"/>
      <c r="M24" s="647"/>
      <c r="N24" s="647"/>
      <c r="O24" s="647"/>
      <c r="P24" s="647"/>
      <c r="Q24" s="645"/>
      <c r="R24" s="645"/>
      <c r="S24" s="645"/>
      <c r="T24" s="645"/>
      <c r="U24" s="645"/>
      <c r="V24" s="646"/>
    </row>
    <row r="25" spans="1:22" ht="13.5" customHeight="1">
      <c r="A25" s="627" t="s">
        <v>294</v>
      </c>
      <c r="B25" s="628"/>
      <c r="C25" s="628"/>
      <c r="D25" s="642"/>
      <c r="E25" s="642"/>
      <c r="F25" s="629" t="s">
        <v>248</v>
      </c>
      <c r="G25" s="629"/>
      <c r="H25" s="628" t="s">
        <v>293</v>
      </c>
      <c r="I25" s="628"/>
      <c r="J25" s="628"/>
      <c r="K25" s="628"/>
      <c r="L25" s="628"/>
      <c r="M25" s="643"/>
      <c r="N25" s="643"/>
      <c r="O25" s="643"/>
      <c r="P25" s="643"/>
      <c r="Q25" s="643"/>
      <c r="R25" s="643"/>
      <c r="S25" s="643"/>
      <c r="T25" s="643"/>
      <c r="U25" s="643"/>
      <c r="V25" s="644"/>
    </row>
    <row r="26" spans="1:22" ht="13.5" customHeight="1">
      <c r="A26" s="627" t="s">
        <v>292</v>
      </c>
      <c r="B26" s="628"/>
      <c r="C26" s="628"/>
      <c r="D26" s="628"/>
      <c r="E26" s="628"/>
      <c r="F26" s="629"/>
      <c r="G26" s="629"/>
      <c r="H26" s="523" t="s">
        <v>248</v>
      </c>
      <c r="I26" s="553"/>
      <c r="J26" s="628" t="s">
        <v>291</v>
      </c>
      <c r="K26" s="628"/>
      <c r="L26" s="628"/>
      <c r="M26" s="628"/>
      <c r="N26" s="628"/>
      <c r="O26" s="648"/>
      <c r="P26" s="648"/>
      <c r="Q26" s="648"/>
      <c r="R26" s="648"/>
      <c r="S26" s="648"/>
      <c r="T26" s="648"/>
      <c r="U26" s="648"/>
      <c r="V26" s="649"/>
    </row>
    <row r="27" spans="1:22" ht="13.5" customHeight="1">
      <c r="A27" s="627" t="s">
        <v>290</v>
      </c>
      <c r="B27" s="628"/>
      <c r="C27" s="631"/>
      <c r="D27" s="631"/>
      <c r="E27" s="631"/>
      <c r="F27" s="631"/>
      <c r="G27" s="631"/>
      <c r="H27" s="631"/>
      <c r="I27" s="631"/>
      <c r="J27" s="631"/>
      <c r="K27" s="631"/>
      <c r="L27" s="631"/>
      <c r="M27" s="631"/>
      <c r="N27" s="631"/>
      <c r="O27" s="631"/>
      <c r="P27" s="631"/>
      <c r="Q27" s="631"/>
      <c r="R27" s="631"/>
      <c r="S27" s="631"/>
      <c r="T27" s="631"/>
      <c r="U27" s="631"/>
      <c r="V27" s="632"/>
    </row>
    <row r="28" spans="1:22" ht="13.5" customHeight="1">
      <c r="A28" s="554"/>
      <c r="B28" s="555"/>
      <c r="C28" s="631"/>
      <c r="D28" s="631"/>
      <c r="E28" s="631"/>
      <c r="F28" s="631"/>
      <c r="G28" s="631"/>
      <c r="H28" s="631"/>
      <c r="I28" s="631"/>
      <c r="J28" s="631"/>
      <c r="K28" s="631"/>
      <c r="L28" s="631"/>
      <c r="M28" s="631"/>
      <c r="N28" s="631"/>
      <c r="O28" s="631"/>
      <c r="P28" s="631"/>
      <c r="Q28" s="631"/>
      <c r="R28" s="631"/>
      <c r="S28" s="631"/>
      <c r="T28" s="631"/>
      <c r="U28" s="631"/>
      <c r="V28" s="632"/>
    </row>
    <row r="29" spans="1:22" ht="13.5" customHeight="1">
      <c r="A29" s="554"/>
      <c r="B29" s="555"/>
      <c r="C29" s="631"/>
      <c r="D29" s="631"/>
      <c r="E29" s="631"/>
      <c r="F29" s="631"/>
      <c r="G29" s="631"/>
      <c r="H29" s="631"/>
      <c r="I29" s="631"/>
      <c r="J29" s="631"/>
      <c r="K29" s="631"/>
      <c r="L29" s="631"/>
      <c r="M29" s="631"/>
      <c r="N29" s="631"/>
      <c r="O29" s="631"/>
      <c r="P29" s="631"/>
      <c r="Q29" s="631"/>
      <c r="R29" s="631"/>
      <c r="S29" s="631"/>
      <c r="T29" s="631"/>
      <c r="U29" s="631"/>
      <c r="V29" s="632"/>
    </row>
    <row r="30" spans="1:22" ht="13.5" customHeight="1">
      <c r="A30" s="554"/>
      <c r="B30" s="555"/>
      <c r="C30" s="631"/>
      <c r="D30" s="631"/>
      <c r="E30" s="631"/>
      <c r="F30" s="631"/>
      <c r="G30" s="631"/>
      <c r="H30" s="631"/>
      <c r="I30" s="631"/>
      <c r="J30" s="631"/>
      <c r="K30" s="631"/>
      <c r="L30" s="631"/>
      <c r="M30" s="631"/>
      <c r="N30" s="631"/>
      <c r="O30" s="631"/>
      <c r="P30" s="631"/>
      <c r="Q30" s="631"/>
      <c r="R30" s="631"/>
      <c r="S30" s="631"/>
      <c r="T30" s="631"/>
      <c r="U30" s="631"/>
      <c r="V30" s="632"/>
    </row>
    <row r="31" spans="1:22" ht="12" customHeight="1">
      <c r="A31" s="638"/>
      <c r="B31" s="639"/>
      <c r="C31" s="639"/>
      <c r="D31" s="639"/>
      <c r="E31" s="639"/>
      <c r="F31" s="639"/>
      <c r="G31" s="639"/>
      <c r="H31" s="639"/>
      <c r="I31" s="639"/>
      <c r="J31" s="639"/>
      <c r="K31" s="639"/>
      <c r="L31" s="639"/>
      <c r="M31" s="639"/>
      <c r="N31" s="639"/>
      <c r="O31" s="639"/>
      <c r="P31" s="639"/>
      <c r="Q31" s="639"/>
      <c r="R31" s="639"/>
      <c r="S31" s="639"/>
      <c r="T31" s="639"/>
      <c r="U31" s="639"/>
      <c r="V31" s="640"/>
    </row>
    <row r="32" spans="1:22" ht="15.75" customHeight="1">
      <c r="A32" s="691" t="s">
        <v>289</v>
      </c>
      <c r="B32" s="691"/>
      <c r="C32" s="691"/>
      <c r="D32" s="692"/>
      <c r="E32" s="692"/>
      <c r="F32" s="691"/>
      <c r="G32" s="691"/>
      <c r="H32" s="691"/>
      <c r="I32" s="691"/>
      <c r="J32" s="691"/>
      <c r="K32" s="691"/>
      <c r="L32" s="691"/>
      <c r="M32" s="691"/>
      <c r="N32" s="691"/>
      <c r="O32" s="691"/>
      <c r="P32" s="691"/>
      <c r="Q32" s="691"/>
      <c r="R32" s="691"/>
      <c r="S32" s="691"/>
      <c r="T32" s="691"/>
      <c r="U32" s="691"/>
      <c r="V32" s="691"/>
    </row>
    <row r="33" spans="1:22" ht="13.2" customHeight="1">
      <c r="A33" s="685" t="s">
        <v>288</v>
      </c>
      <c r="B33" s="650"/>
      <c r="C33" s="686"/>
      <c r="D33" s="658" t="s">
        <v>287</v>
      </c>
      <c r="E33" s="659"/>
      <c r="F33" s="658" t="s">
        <v>286</v>
      </c>
      <c r="G33" s="659"/>
      <c r="H33" s="652" t="s">
        <v>285</v>
      </c>
      <c r="I33" s="653"/>
      <c r="J33" s="654"/>
      <c r="K33" s="685" t="s">
        <v>284</v>
      </c>
      <c r="L33" s="653"/>
      <c r="M33" s="653"/>
      <c r="N33" s="653"/>
      <c r="O33" s="653"/>
      <c r="P33" s="653"/>
      <c r="Q33" s="693"/>
      <c r="R33" s="652" t="s">
        <v>283</v>
      </c>
      <c r="S33" s="653"/>
      <c r="T33" s="653"/>
      <c r="U33" s="653"/>
      <c r="V33" s="654"/>
    </row>
    <row r="34" spans="1:22" ht="25.95" customHeight="1">
      <c r="A34" s="687"/>
      <c r="B34" s="688"/>
      <c r="C34" s="689"/>
      <c r="D34" s="660"/>
      <c r="E34" s="661"/>
      <c r="F34" s="660"/>
      <c r="G34" s="661"/>
      <c r="H34" s="655"/>
      <c r="I34" s="656"/>
      <c r="J34" s="657"/>
      <c r="K34" s="682" t="s">
        <v>282</v>
      </c>
      <c r="L34" s="683"/>
      <c r="M34" s="683"/>
      <c r="N34" s="683"/>
      <c r="O34" s="683"/>
      <c r="P34" s="683"/>
      <c r="Q34" s="684"/>
      <c r="R34" s="655"/>
      <c r="S34" s="656"/>
      <c r="T34" s="656"/>
      <c r="U34" s="656"/>
      <c r="V34" s="657"/>
    </row>
    <row r="35" spans="1:22" ht="13.5" customHeight="1">
      <c r="A35" s="622" t="s">
        <v>684</v>
      </c>
      <c r="B35" s="623"/>
      <c r="C35" s="624"/>
      <c r="D35" s="636" t="s">
        <v>685</v>
      </c>
      <c r="E35" s="624"/>
      <c r="F35" s="636" t="s">
        <v>686</v>
      </c>
      <c r="G35" s="637"/>
      <c r="H35" s="622"/>
      <c r="I35" s="623"/>
      <c r="J35" s="637"/>
      <c r="K35" s="622"/>
      <c r="L35" s="623"/>
      <c r="M35" s="623"/>
      <c r="N35" s="623"/>
      <c r="O35" s="623"/>
      <c r="P35" s="623"/>
      <c r="Q35" s="624"/>
      <c r="R35" s="636"/>
      <c r="S35" s="623"/>
      <c r="T35" s="623"/>
      <c r="U35" s="623"/>
      <c r="V35" s="637"/>
    </row>
    <row r="36" spans="1:22" ht="13.5" customHeight="1">
      <c r="A36" s="622" t="s">
        <v>720</v>
      </c>
      <c r="B36" s="623"/>
      <c r="C36" s="624"/>
      <c r="D36" s="636" t="s">
        <v>721</v>
      </c>
      <c r="E36" s="624"/>
      <c r="F36" s="636" t="s">
        <v>722</v>
      </c>
      <c r="G36" s="637"/>
      <c r="H36" s="622"/>
      <c r="I36" s="623"/>
      <c r="J36" s="637"/>
      <c r="K36" s="622"/>
      <c r="L36" s="623"/>
      <c r="M36" s="623"/>
      <c r="N36" s="623"/>
      <c r="O36" s="623"/>
      <c r="P36" s="623"/>
      <c r="Q36" s="624"/>
      <c r="R36" s="636"/>
      <c r="S36" s="623"/>
      <c r="T36" s="623"/>
      <c r="U36" s="623"/>
      <c r="V36" s="637"/>
    </row>
    <row r="37" spans="1:22" ht="13.5" customHeight="1">
      <c r="A37" s="622"/>
      <c r="B37" s="623"/>
      <c r="C37" s="624"/>
      <c r="D37" s="636"/>
      <c r="E37" s="624"/>
      <c r="F37" s="636"/>
      <c r="G37" s="637"/>
      <c r="H37" s="622"/>
      <c r="I37" s="623"/>
      <c r="J37" s="637"/>
      <c r="K37" s="622"/>
      <c r="L37" s="623"/>
      <c r="M37" s="623"/>
      <c r="N37" s="623"/>
      <c r="O37" s="623"/>
      <c r="P37" s="623"/>
      <c r="Q37" s="624"/>
      <c r="R37" s="636"/>
      <c r="S37" s="623"/>
      <c r="T37" s="623"/>
      <c r="U37" s="623"/>
      <c r="V37" s="637"/>
    </row>
    <row r="38" spans="1:22" ht="13.5" customHeight="1">
      <c r="A38" s="622"/>
      <c r="B38" s="623"/>
      <c r="C38" s="624"/>
      <c r="D38" s="634"/>
      <c r="E38" s="635"/>
      <c r="F38" s="636"/>
      <c r="G38" s="637"/>
      <c r="H38" s="622"/>
      <c r="I38" s="623"/>
      <c r="J38" s="637"/>
      <c r="K38" s="622"/>
      <c r="L38" s="623"/>
      <c r="M38" s="623"/>
      <c r="N38" s="623"/>
      <c r="O38" s="623"/>
      <c r="P38" s="623"/>
      <c r="Q38" s="624"/>
      <c r="R38" s="636"/>
      <c r="S38" s="623"/>
      <c r="T38" s="623"/>
      <c r="U38" s="623"/>
      <c r="V38" s="637"/>
    </row>
    <row r="39" spans="1:22" ht="13.5" customHeight="1">
      <c r="A39" s="622"/>
      <c r="B39" s="623"/>
      <c r="C39" s="624"/>
      <c r="D39" s="634"/>
      <c r="E39" s="635"/>
      <c r="F39" s="636"/>
      <c r="G39" s="637"/>
      <c r="H39" s="622"/>
      <c r="I39" s="623"/>
      <c r="J39" s="637"/>
      <c r="K39" s="622"/>
      <c r="L39" s="623"/>
      <c r="M39" s="623"/>
      <c r="N39" s="623"/>
      <c r="O39" s="623"/>
      <c r="P39" s="623"/>
      <c r="Q39" s="624"/>
      <c r="R39" s="636"/>
      <c r="S39" s="623"/>
      <c r="T39" s="623"/>
      <c r="U39" s="623"/>
      <c r="V39" s="637"/>
    </row>
    <row r="40" spans="1:22" ht="13.5" customHeight="1">
      <c r="A40" s="622"/>
      <c r="B40" s="623"/>
      <c r="C40" s="624"/>
      <c r="D40" s="634"/>
      <c r="E40" s="635"/>
      <c r="F40" s="636"/>
      <c r="G40" s="637"/>
      <c r="H40" s="622"/>
      <c r="I40" s="623"/>
      <c r="J40" s="637"/>
      <c r="K40" s="622"/>
      <c r="L40" s="623"/>
      <c r="M40" s="623"/>
      <c r="N40" s="623"/>
      <c r="O40" s="623"/>
      <c r="P40" s="623"/>
      <c r="Q40" s="624"/>
      <c r="R40" s="636"/>
      <c r="S40" s="623"/>
      <c r="T40" s="623"/>
      <c r="U40" s="623"/>
      <c r="V40" s="637"/>
    </row>
    <row r="41" spans="1:22" s="84" customFormat="1" ht="13.5" customHeight="1">
      <c r="A41" s="556"/>
      <c r="B41" s="556"/>
      <c r="C41" s="556"/>
      <c r="D41" s="557"/>
      <c r="E41" s="557"/>
      <c r="F41" s="556"/>
      <c r="G41" s="556"/>
      <c r="H41" s="556"/>
      <c r="I41" s="556"/>
      <c r="J41" s="556"/>
      <c r="K41" s="556"/>
      <c r="L41" s="556"/>
      <c r="M41" s="556"/>
      <c r="N41" s="556"/>
      <c r="O41" s="556"/>
      <c r="P41" s="556"/>
      <c r="Q41" s="556"/>
      <c r="R41" s="556"/>
      <c r="S41" s="556"/>
      <c r="T41" s="556"/>
      <c r="U41" s="556"/>
      <c r="V41" s="556"/>
    </row>
    <row r="42" spans="1:22" ht="14.25" customHeight="1">
      <c r="A42" s="717" t="s">
        <v>281</v>
      </c>
      <c r="B42" s="717"/>
      <c r="C42" s="717"/>
      <c r="D42" s="717"/>
      <c r="E42" s="717"/>
      <c r="F42" s="717"/>
      <c r="G42" s="717"/>
      <c r="H42" s="717"/>
      <c r="I42" s="717"/>
      <c r="J42" s="717"/>
      <c r="K42" s="717"/>
      <c r="L42" s="717"/>
      <c r="M42" s="717"/>
      <c r="N42" s="717"/>
      <c r="O42" s="717"/>
      <c r="P42" s="717"/>
      <c r="Q42" s="717"/>
      <c r="R42" s="717"/>
      <c r="S42" s="717"/>
      <c r="T42" s="717"/>
      <c r="U42" s="717"/>
      <c r="V42" s="717"/>
    </row>
    <row r="43" spans="1:22" ht="14.25" customHeight="1">
      <c r="A43" s="188" t="s">
        <v>280</v>
      </c>
      <c r="B43" s="558"/>
      <c r="C43" s="558"/>
      <c r="D43" s="558"/>
      <c r="E43" s="558"/>
      <c r="F43" s="558"/>
      <c r="G43" s="558"/>
      <c r="H43" s="558"/>
      <c r="I43" s="558"/>
      <c r="J43" s="558"/>
      <c r="K43" s="558"/>
      <c r="L43" s="558"/>
      <c r="M43" s="558"/>
      <c r="N43" s="558"/>
      <c r="O43" s="558"/>
      <c r="P43" s="558"/>
      <c r="Q43" s="558"/>
      <c r="R43" s="558"/>
      <c r="S43" s="558"/>
      <c r="T43" s="558"/>
      <c r="U43" s="558"/>
      <c r="V43" s="558"/>
    </row>
    <row r="44" spans="1:22" ht="33" customHeight="1">
      <c r="A44" s="620" t="s">
        <v>173</v>
      </c>
      <c r="B44" s="620"/>
      <c r="C44" s="524" t="s">
        <v>279</v>
      </c>
      <c r="D44" s="716" t="s">
        <v>278</v>
      </c>
      <c r="E44" s="620"/>
      <c r="F44" s="620" t="s">
        <v>277</v>
      </c>
      <c r="G44" s="620"/>
      <c r="H44" s="620" t="s">
        <v>276</v>
      </c>
      <c r="I44" s="620"/>
      <c r="J44" s="620"/>
      <c r="K44" s="620"/>
      <c r="L44" s="620" t="s">
        <v>182</v>
      </c>
      <c r="M44" s="620"/>
      <c r="N44" s="620"/>
      <c r="O44" s="620" t="s">
        <v>275</v>
      </c>
      <c r="P44" s="620"/>
      <c r="Q44" s="620"/>
      <c r="R44" s="620" t="s">
        <v>274</v>
      </c>
      <c r="S44" s="620"/>
      <c r="T44" s="620"/>
      <c r="U44" s="716" t="s">
        <v>273</v>
      </c>
      <c r="V44" s="620"/>
    </row>
    <row r="45" spans="1:22" ht="13.5" customHeight="1">
      <c r="A45" s="651" t="s">
        <v>687</v>
      </c>
      <c r="B45" s="651"/>
      <c r="C45" s="559">
        <v>12.25</v>
      </c>
      <c r="D45" s="621" t="s">
        <v>688</v>
      </c>
      <c r="E45" s="621"/>
      <c r="F45" s="621" t="s">
        <v>689</v>
      </c>
      <c r="G45" s="621"/>
      <c r="H45" s="621" t="s">
        <v>690</v>
      </c>
      <c r="I45" s="621"/>
      <c r="J45" s="621"/>
      <c r="K45" s="621"/>
      <c r="L45" s="621" t="s">
        <v>703</v>
      </c>
      <c r="M45" s="621"/>
      <c r="N45" s="621"/>
      <c r="O45" s="621" t="s">
        <v>690</v>
      </c>
      <c r="P45" s="621"/>
      <c r="Q45" s="621"/>
      <c r="R45" s="621" t="s">
        <v>691</v>
      </c>
      <c r="S45" s="621"/>
      <c r="T45" s="621"/>
      <c r="U45" s="621" t="s">
        <v>692</v>
      </c>
      <c r="V45" s="621"/>
    </row>
    <row r="46" spans="1:22" ht="13.5" customHeight="1">
      <c r="A46" s="651" t="s">
        <v>693</v>
      </c>
      <c r="B46" s="651"/>
      <c r="C46" s="559">
        <v>7.88</v>
      </c>
      <c r="D46" s="621" t="s">
        <v>694</v>
      </c>
      <c r="E46" s="621"/>
      <c r="F46" s="621" t="s">
        <v>695</v>
      </c>
      <c r="G46" s="621"/>
      <c r="H46" s="621" t="s">
        <v>696</v>
      </c>
      <c r="I46" s="621"/>
      <c r="J46" s="621"/>
      <c r="K46" s="621"/>
      <c r="L46" s="621" t="s">
        <v>704</v>
      </c>
      <c r="M46" s="621"/>
      <c r="N46" s="621"/>
      <c r="O46" s="621" t="s">
        <v>696</v>
      </c>
      <c r="P46" s="621"/>
      <c r="Q46" s="621"/>
      <c r="R46" s="621" t="s">
        <v>723</v>
      </c>
      <c r="S46" s="621"/>
      <c r="T46" s="621"/>
      <c r="U46" s="621" t="s">
        <v>697</v>
      </c>
      <c r="V46" s="621"/>
    </row>
    <row r="47" spans="1:22" ht="13.5" customHeight="1">
      <c r="A47" s="651" t="s">
        <v>698</v>
      </c>
      <c r="B47" s="651"/>
      <c r="C47" s="559">
        <v>7.88</v>
      </c>
      <c r="D47" s="621" t="s">
        <v>694</v>
      </c>
      <c r="E47" s="621"/>
      <c r="F47" s="621" t="s">
        <v>695</v>
      </c>
      <c r="G47" s="621"/>
      <c r="H47" s="621" t="s">
        <v>699</v>
      </c>
      <c r="I47" s="621"/>
      <c r="J47" s="621"/>
      <c r="K47" s="621"/>
      <c r="L47" s="621" t="s">
        <v>700</v>
      </c>
      <c r="M47" s="621"/>
      <c r="N47" s="621"/>
      <c r="O47" s="621" t="s">
        <v>699</v>
      </c>
      <c r="P47" s="621"/>
      <c r="Q47" s="621"/>
      <c r="R47" s="621" t="s">
        <v>701</v>
      </c>
      <c r="S47" s="621"/>
      <c r="T47" s="621"/>
      <c r="U47" s="621" t="s">
        <v>697</v>
      </c>
      <c r="V47" s="621"/>
    </row>
    <row r="48" spans="1:22" ht="13.5" customHeight="1">
      <c r="A48" s="651"/>
      <c r="B48" s="651"/>
      <c r="C48" s="559"/>
      <c r="D48" s="621"/>
      <c r="E48" s="621"/>
      <c r="F48" s="621"/>
      <c r="G48" s="621"/>
      <c r="H48" s="621"/>
      <c r="I48" s="621"/>
      <c r="J48" s="621"/>
      <c r="K48" s="621"/>
      <c r="L48" s="621"/>
      <c r="M48" s="621"/>
      <c r="N48" s="621"/>
      <c r="O48" s="621"/>
      <c r="P48" s="621"/>
      <c r="Q48" s="621"/>
      <c r="R48" s="621"/>
      <c r="S48" s="621"/>
      <c r="T48" s="621"/>
      <c r="U48" s="621"/>
      <c r="V48" s="621"/>
    </row>
    <row r="49" spans="1:22" ht="13.5" customHeight="1">
      <c r="A49" s="651"/>
      <c r="B49" s="651"/>
      <c r="C49" s="559"/>
      <c r="D49" s="621"/>
      <c r="E49" s="621"/>
      <c r="F49" s="621"/>
      <c r="G49" s="621"/>
      <c r="H49" s="621"/>
      <c r="I49" s="621"/>
      <c r="J49" s="621"/>
      <c r="K49" s="621"/>
      <c r="L49" s="621"/>
      <c r="M49" s="621"/>
      <c r="N49" s="621"/>
      <c r="O49" s="621"/>
      <c r="P49" s="621"/>
      <c r="Q49" s="621"/>
      <c r="R49" s="621"/>
      <c r="S49" s="621"/>
      <c r="T49" s="621"/>
      <c r="U49" s="621"/>
      <c r="V49" s="621"/>
    </row>
    <row r="50" spans="1:22" ht="13.5" customHeight="1">
      <c r="A50" s="651"/>
      <c r="B50" s="651"/>
      <c r="C50" s="559"/>
      <c r="D50" s="621"/>
      <c r="E50" s="621"/>
      <c r="F50" s="621"/>
      <c r="G50" s="621"/>
      <c r="H50" s="621"/>
      <c r="I50" s="621"/>
      <c r="J50" s="621"/>
      <c r="K50" s="621"/>
      <c r="L50" s="621"/>
      <c r="M50" s="621"/>
      <c r="N50" s="621"/>
      <c r="O50" s="621"/>
      <c r="P50" s="621"/>
      <c r="Q50" s="621"/>
      <c r="R50" s="621"/>
      <c r="S50" s="621"/>
      <c r="T50" s="621"/>
      <c r="U50" s="621"/>
      <c r="V50" s="621"/>
    </row>
    <row r="51" spans="1:22" ht="16.5" customHeight="1">
      <c r="A51" s="699" t="s">
        <v>272</v>
      </c>
      <c r="B51" s="699"/>
      <c r="C51" s="699"/>
      <c r="D51" s="699"/>
      <c r="E51" s="699"/>
      <c r="F51" s="699"/>
      <c r="G51" s="699"/>
      <c r="H51" s="699"/>
      <c r="I51" s="699"/>
      <c r="J51" s="699"/>
      <c r="K51" s="699"/>
      <c r="L51" s="699"/>
      <c r="M51" s="699"/>
      <c r="N51" s="699"/>
      <c r="O51" s="699"/>
      <c r="P51" s="699"/>
      <c r="Q51" s="699"/>
      <c r="R51" s="699"/>
      <c r="S51" s="699"/>
      <c r="T51" s="699"/>
      <c r="U51" s="699"/>
      <c r="V51" s="699"/>
    </row>
    <row r="52" spans="1:22" ht="20.25" customHeight="1">
      <c r="A52" s="560"/>
      <c r="B52" s="698" t="s">
        <v>271</v>
      </c>
      <c r="C52" s="698"/>
      <c r="D52" s="561">
        <v>7200</v>
      </c>
      <c r="E52" s="90" t="s">
        <v>268</v>
      </c>
      <c r="F52" s="561" t="s">
        <v>724</v>
      </c>
      <c r="G52" s="709" t="s">
        <v>270</v>
      </c>
      <c r="H52" s="709"/>
      <c r="I52" s="709"/>
      <c r="J52" s="709"/>
      <c r="K52" s="709"/>
      <c r="L52" s="562">
        <v>4032</v>
      </c>
      <c r="M52" s="563" t="s">
        <v>255</v>
      </c>
      <c r="N52" s="700">
        <v>2</v>
      </c>
      <c r="O52" s="700"/>
      <c r="P52" s="710" t="s">
        <v>255</v>
      </c>
      <c r="Q52" s="710"/>
      <c r="R52" s="710"/>
      <c r="S52" s="710"/>
      <c r="T52" s="710"/>
      <c r="U52" s="710"/>
      <c r="V52" s="710"/>
    </row>
    <row r="53" spans="1:22" ht="20.25" customHeight="1">
      <c r="A53" s="560"/>
      <c r="B53" s="698" t="s">
        <v>269</v>
      </c>
      <c r="C53" s="698"/>
      <c r="D53" s="561"/>
      <c r="E53" s="90" t="s">
        <v>268</v>
      </c>
      <c r="F53" s="561"/>
      <c r="G53" s="87" t="s">
        <v>267</v>
      </c>
      <c r="H53" s="87"/>
      <c r="I53" s="87"/>
      <c r="J53" s="87"/>
      <c r="K53" s="87"/>
      <c r="L53" s="562"/>
      <c r="M53" s="563" t="s">
        <v>255</v>
      </c>
      <c r="N53" s="700"/>
      <c r="O53" s="700"/>
      <c r="P53" s="710"/>
      <c r="Q53" s="710"/>
      <c r="R53" s="710"/>
      <c r="S53" s="710"/>
      <c r="T53" s="710"/>
      <c r="U53" s="710"/>
      <c r="V53" s="710"/>
    </row>
    <row r="54" spans="1:22" ht="20.25" customHeight="1">
      <c r="A54" s="560"/>
      <c r="B54" s="698" t="s">
        <v>524</v>
      </c>
      <c r="C54" s="698"/>
      <c r="D54" s="561"/>
      <c r="E54" s="90" t="s">
        <v>268</v>
      </c>
      <c r="F54" s="561"/>
      <c r="G54" s="87" t="s">
        <v>525</v>
      </c>
      <c r="H54" s="87"/>
      <c r="I54" s="87"/>
      <c r="J54" s="87"/>
      <c r="K54" s="87"/>
      <c r="L54" s="562"/>
      <c r="M54" s="563" t="s">
        <v>255</v>
      </c>
      <c r="N54" s="700"/>
      <c r="O54" s="700"/>
      <c r="P54" s="710"/>
      <c r="Q54" s="710"/>
      <c r="R54" s="710"/>
      <c r="S54" s="710"/>
      <c r="T54" s="710"/>
      <c r="U54" s="710"/>
      <c r="V54" s="710"/>
    </row>
    <row r="55" spans="1:22" ht="20.25" customHeight="1">
      <c r="A55" s="560"/>
      <c r="B55" s="560"/>
      <c r="C55" s="560"/>
      <c r="D55" s="564"/>
      <c r="E55" s="90"/>
      <c r="F55" s="565"/>
      <c r="G55" s="566"/>
      <c r="H55" s="566"/>
      <c r="I55" s="566"/>
      <c r="J55" s="566"/>
      <c r="K55" s="567"/>
      <c r="L55" s="567"/>
      <c r="M55" s="563"/>
      <c r="N55" s="89" t="s">
        <v>266</v>
      </c>
      <c r="O55" s="568"/>
      <c r="P55" s="569"/>
      <c r="Q55" s="569"/>
      <c r="R55" s="569"/>
      <c r="S55" s="569"/>
      <c r="T55" s="569"/>
      <c r="U55" s="88" t="s">
        <v>265</v>
      </c>
      <c r="V55" s="569"/>
    </row>
    <row r="56" spans="1:22" ht="13.5" customHeight="1" thickBot="1">
      <c r="A56" s="560"/>
      <c r="B56" s="560" t="s">
        <v>246</v>
      </c>
      <c r="C56" s="570" t="s">
        <v>730</v>
      </c>
      <c r="D56" s="697" t="s">
        <v>264</v>
      </c>
      <c r="E56" s="697"/>
      <c r="F56" s="695" t="s">
        <v>727</v>
      </c>
      <c r="G56" s="695"/>
      <c r="H56" s="695"/>
      <c r="I56" s="571" t="s">
        <v>253</v>
      </c>
      <c r="J56" s="695" t="s">
        <v>731</v>
      </c>
      <c r="K56" s="695"/>
      <c r="L56" s="571" t="s">
        <v>263</v>
      </c>
      <c r="M56" s="571"/>
      <c r="N56" s="83" t="s">
        <v>262</v>
      </c>
      <c r="O56" s="572"/>
      <c r="P56" s="711" t="s">
        <v>702</v>
      </c>
      <c r="Q56" s="711"/>
      <c r="R56" s="573"/>
      <c r="S56" s="87" t="s">
        <v>261</v>
      </c>
      <c r="U56" s="348"/>
      <c r="V56" s="574"/>
    </row>
    <row r="57" spans="1:22" ht="13.5" customHeight="1" thickBot="1">
      <c r="A57" s="560"/>
      <c r="B57" s="560" t="s">
        <v>246</v>
      </c>
      <c r="C57" s="570" t="s">
        <v>732</v>
      </c>
      <c r="D57" s="697" t="s">
        <v>264</v>
      </c>
      <c r="E57" s="697"/>
      <c r="F57" s="695" t="s">
        <v>733</v>
      </c>
      <c r="G57" s="695"/>
      <c r="H57" s="695"/>
      <c r="I57" s="571" t="s">
        <v>253</v>
      </c>
      <c r="J57" s="695" t="s">
        <v>734</v>
      </c>
      <c r="K57" s="695"/>
      <c r="L57" s="571" t="s">
        <v>263</v>
      </c>
      <c r="M57" s="571"/>
      <c r="N57" s="83" t="s">
        <v>262</v>
      </c>
      <c r="O57" s="572"/>
      <c r="P57" s="712" t="s">
        <v>702</v>
      </c>
      <c r="Q57" s="712"/>
      <c r="R57" s="573"/>
      <c r="S57" s="87" t="s">
        <v>261</v>
      </c>
      <c r="U57" s="86"/>
      <c r="V57" s="574"/>
    </row>
    <row r="58" spans="1:22" ht="13.5" customHeight="1" thickBot="1">
      <c r="A58" s="560"/>
      <c r="B58" s="560" t="s">
        <v>246</v>
      </c>
      <c r="C58" s="570"/>
      <c r="D58" s="697" t="s">
        <v>264</v>
      </c>
      <c r="E58" s="697"/>
      <c r="F58" s="695"/>
      <c r="G58" s="695"/>
      <c r="H58" s="695"/>
      <c r="I58" s="571" t="s">
        <v>253</v>
      </c>
      <c r="J58" s="695"/>
      <c r="K58" s="695"/>
      <c r="L58" s="571" t="s">
        <v>263</v>
      </c>
      <c r="M58" s="571"/>
      <c r="N58" s="83" t="s">
        <v>262</v>
      </c>
      <c r="O58" s="572"/>
      <c r="P58" s="712"/>
      <c r="Q58" s="712"/>
      <c r="R58" s="573"/>
      <c r="S58" s="87" t="s">
        <v>261</v>
      </c>
      <c r="U58" s="86"/>
      <c r="V58" s="574"/>
    </row>
    <row r="59" spans="1:22" ht="13.5" customHeight="1" thickBot="1">
      <c r="A59" s="560"/>
      <c r="B59" s="560" t="s">
        <v>246</v>
      </c>
      <c r="C59" s="570"/>
      <c r="D59" s="697" t="s">
        <v>264</v>
      </c>
      <c r="E59" s="697"/>
      <c r="F59" s="695"/>
      <c r="G59" s="695"/>
      <c r="H59" s="695"/>
      <c r="I59" s="571" t="s">
        <v>253</v>
      </c>
      <c r="J59" s="695"/>
      <c r="K59" s="695"/>
      <c r="L59" s="571" t="s">
        <v>263</v>
      </c>
      <c r="M59" s="571"/>
      <c r="N59" s="83" t="s">
        <v>262</v>
      </c>
      <c r="O59" s="572"/>
      <c r="P59" s="712"/>
      <c r="Q59" s="712"/>
      <c r="R59" s="573"/>
      <c r="S59" s="87" t="s">
        <v>261</v>
      </c>
      <c r="U59" s="86"/>
      <c r="V59" s="574"/>
    </row>
    <row r="60" spans="1:22" ht="13.5" customHeight="1" thickBot="1">
      <c r="A60" s="560"/>
      <c r="B60" s="560" t="s">
        <v>246</v>
      </c>
      <c r="C60" s="570"/>
      <c r="D60" s="697" t="s">
        <v>264</v>
      </c>
      <c r="E60" s="697"/>
      <c r="F60" s="695"/>
      <c r="G60" s="695"/>
      <c r="H60" s="695"/>
      <c r="I60" s="571" t="s">
        <v>253</v>
      </c>
      <c r="J60" s="695"/>
      <c r="K60" s="695"/>
      <c r="L60" s="571" t="s">
        <v>263</v>
      </c>
      <c r="M60" s="571"/>
      <c r="N60" s="83" t="s">
        <v>262</v>
      </c>
      <c r="O60" s="572"/>
      <c r="P60" s="712"/>
      <c r="Q60" s="712"/>
      <c r="R60" s="573"/>
      <c r="S60" s="87" t="s">
        <v>261</v>
      </c>
      <c r="U60" s="86"/>
      <c r="V60" s="574"/>
    </row>
    <row r="61" spans="1:22" ht="13.5" customHeight="1">
      <c r="A61" s="560"/>
      <c r="B61" s="560"/>
      <c r="C61" s="570"/>
      <c r="D61" s="575"/>
      <c r="E61" s="575"/>
      <c r="F61" s="695"/>
      <c r="G61" s="695"/>
      <c r="H61" s="695"/>
      <c r="I61" s="576"/>
      <c r="J61" s="695"/>
      <c r="K61" s="695"/>
      <c r="L61" s="569"/>
      <c r="M61" s="569"/>
      <c r="N61" s="347"/>
      <c r="O61" s="577"/>
      <c r="P61" s="715"/>
      <c r="Q61" s="715"/>
      <c r="R61" s="573"/>
      <c r="S61" s="574"/>
      <c r="U61" s="348"/>
      <c r="V61" s="574"/>
    </row>
    <row r="62" spans="1:22" ht="13.5" customHeight="1" thickBot="1">
      <c r="A62" s="560"/>
      <c r="B62" s="694" t="s">
        <v>260</v>
      </c>
      <c r="C62" s="694"/>
      <c r="D62" s="695" t="s">
        <v>725</v>
      </c>
      <c r="E62" s="695"/>
      <c r="F62" s="695"/>
      <c r="G62" s="578" t="s">
        <v>259</v>
      </c>
      <c r="H62" s="696" t="s">
        <v>726</v>
      </c>
      <c r="I62" s="696"/>
      <c r="J62" s="696"/>
      <c r="K62" s="560" t="s">
        <v>258</v>
      </c>
      <c r="L62" s="560" t="s">
        <v>257</v>
      </c>
      <c r="M62" s="560"/>
      <c r="N62" s="560"/>
      <c r="O62" s="560"/>
      <c r="P62" s="560"/>
      <c r="Q62" s="560"/>
      <c r="R62" s="714" t="s">
        <v>727</v>
      </c>
      <c r="S62" s="714"/>
      <c r="T62" s="579"/>
      <c r="U62" s="579" t="s">
        <v>256</v>
      </c>
      <c r="V62" s="579"/>
    </row>
    <row r="63" spans="1:22" ht="13.5" customHeight="1" thickBot="1">
      <c r="A63" s="560"/>
      <c r="B63" s="694" t="s">
        <v>260</v>
      </c>
      <c r="C63" s="694"/>
      <c r="D63" s="695" t="s">
        <v>729</v>
      </c>
      <c r="E63" s="695"/>
      <c r="F63" s="695"/>
      <c r="G63" s="578" t="s">
        <v>259</v>
      </c>
      <c r="H63" s="623" t="s">
        <v>728</v>
      </c>
      <c r="I63" s="623"/>
      <c r="J63" s="623"/>
      <c r="K63" s="560" t="s">
        <v>258</v>
      </c>
      <c r="L63" s="698" t="s">
        <v>257</v>
      </c>
      <c r="M63" s="698"/>
      <c r="N63" s="698"/>
      <c r="O63" s="698"/>
      <c r="P63" s="698"/>
      <c r="Q63" s="698"/>
      <c r="R63" s="714"/>
      <c r="S63" s="714"/>
      <c r="T63" s="579"/>
      <c r="U63" s="579" t="s">
        <v>256</v>
      </c>
      <c r="V63" s="579"/>
    </row>
    <row r="64" spans="1:22" ht="13.5" customHeight="1" thickBot="1">
      <c r="A64" s="560"/>
      <c r="B64" s="694" t="s">
        <v>260</v>
      </c>
      <c r="C64" s="694"/>
      <c r="D64" s="695"/>
      <c r="E64" s="695"/>
      <c r="F64" s="695"/>
      <c r="G64" s="578" t="s">
        <v>259</v>
      </c>
      <c r="H64" s="623"/>
      <c r="I64" s="623"/>
      <c r="J64" s="623"/>
      <c r="K64" s="560" t="s">
        <v>258</v>
      </c>
      <c r="L64" s="698" t="s">
        <v>257</v>
      </c>
      <c r="M64" s="698"/>
      <c r="N64" s="698"/>
      <c r="O64" s="698"/>
      <c r="P64" s="698"/>
      <c r="Q64" s="698"/>
      <c r="R64" s="714"/>
      <c r="S64" s="714"/>
      <c r="T64" s="579"/>
      <c r="U64" s="579" t="s">
        <v>256</v>
      </c>
      <c r="V64" s="579"/>
    </row>
    <row r="65" spans="1:24" ht="13.5" customHeight="1" thickBot="1">
      <c r="A65" s="560" t="s">
        <v>255</v>
      </c>
      <c r="B65" s="560" t="s">
        <v>246</v>
      </c>
      <c r="C65" s="570"/>
      <c r="D65" s="560" t="s">
        <v>254</v>
      </c>
      <c r="E65" s="580"/>
      <c r="F65" s="580"/>
      <c r="G65" s="580"/>
      <c r="H65" s="580"/>
      <c r="I65" s="580"/>
      <c r="L65" s="695"/>
      <c r="M65" s="695"/>
      <c r="N65" s="581" t="s">
        <v>253</v>
      </c>
      <c r="O65" s="570"/>
      <c r="P65" s="713"/>
      <c r="Q65" s="713"/>
      <c r="R65" s="582" t="s">
        <v>252</v>
      </c>
      <c r="S65" s="582"/>
      <c r="T65" s="582"/>
      <c r="U65" s="582"/>
      <c r="V65" s="582"/>
      <c r="W65" s="582"/>
      <c r="X65" s="582"/>
    </row>
    <row r="66" spans="1:24" ht="13.5" customHeight="1">
      <c r="A66" s="560"/>
      <c r="B66" s="560" t="s">
        <v>246</v>
      </c>
      <c r="C66" s="570" t="s">
        <v>728</v>
      </c>
      <c r="E66" s="571" t="s">
        <v>251</v>
      </c>
      <c r="F66" s="571"/>
      <c r="G66" s="571"/>
      <c r="H66" s="571"/>
      <c r="I66" s="571"/>
      <c r="J66" s="571"/>
      <c r="K66" s="571"/>
      <c r="L66" s="571"/>
      <c r="M66" s="571"/>
      <c r="N66" s="571"/>
      <c r="O66" s="571"/>
      <c r="P66" s="571"/>
      <c r="Q66" s="571"/>
      <c r="R66" s="571"/>
      <c r="S66" s="571"/>
      <c r="T66" s="571"/>
      <c r="U66" s="571"/>
      <c r="V66" s="571"/>
    </row>
    <row r="67" spans="1:24" ht="13.5" customHeight="1">
      <c r="A67" s="560"/>
      <c r="B67" s="571" t="s">
        <v>250</v>
      </c>
      <c r="C67" s="571"/>
      <c r="D67" s="571"/>
      <c r="E67" s="571"/>
      <c r="F67" s="571"/>
      <c r="G67" s="571"/>
      <c r="H67" s="698" t="s">
        <v>249</v>
      </c>
      <c r="I67" s="698"/>
      <c r="J67" s="698"/>
      <c r="K67" s="698"/>
      <c r="L67" s="698"/>
      <c r="M67" s="583"/>
      <c r="N67" s="560" t="s">
        <v>151</v>
      </c>
      <c r="O67" s="583" t="s">
        <v>248</v>
      </c>
      <c r="P67" s="698" t="s">
        <v>247</v>
      </c>
      <c r="Q67" s="698"/>
      <c r="R67" s="698"/>
      <c r="S67" s="698"/>
      <c r="T67" s="698"/>
      <c r="U67" s="698"/>
      <c r="V67" s="698"/>
    </row>
    <row r="68" spans="1:24" ht="13.5" customHeight="1">
      <c r="A68" s="560"/>
      <c r="B68" s="560" t="s">
        <v>246</v>
      </c>
      <c r="C68" s="557"/>
      <c r="D68" s="698" t="s">
        <v>245</v>
      </c>
      <c r="E68" s="698"/>
      <c r="F68" s="698"/>
      <c r="G68" s="698"/>
      <c r="H68" s="698"/>
      <c r="I68" s="569" t="s">
        <v>244</v>
      </c>
      <c r="J68" s="703"/>
      <c r="K68" s="703"/>
      <c r="L68" s="698" t="s">
        <v>243</v>
      </c>
      <c r="M68" s="698"/>
      <c r="N68" s="698"/>
      <c r="O68" s="698"/>
      <c r="P68" s="698"/>
      <c r="Q68" s="698"/>
      <c r="R68" s="698"/>
      <c r="S68" s="698"/>
      <c r="T68" s="698"/>
      <c r="U68" s="698"/>
      <c r="V68" s="698"/>
    </row>
    <row r="69" spans="1:24" ht="6.75" customHeight="1" thickBot="1">
      <c r="A69" s="704"/>
      <c r="B69" s="704"/>
      <c r="C69" s="704"/>
      <c r="D69" s="704"/>
      <c r="E69" s="704"/>
      <c r="F69" s="704"/>
      <c r="G69" s="704"/>
      <c r="H69" s="704"/>
      <c r="I69" s="704"/>
      <c r="J69" s="704"/>
      <c r="K69" s="704"/>
      <c r="L69" s="704"/>
      <c r="M69" s="704"/>
      <c r="N69" s="704"/>
      <c r="O69" s="704"/>
      <c r="P69" s="704"/>
      <c r="Q69" s="704"/>
      <c r="R69" s="704"/>
      <c r="S69" s="704"/>
      <c r="T69" s="704"/>
      <c r="U69" s="704"/>
      <c r="V69" s="704"/>
    </row>
    <row r="70" spans="1:24" ht="14.25" customHeight="1">
      <c r="A70" s="708" t="s">
        <v>242</v>
      </c>
      <c r="B70" s="708"/>
      <c r="C70" s="708"/>
      <c r="D70" s="708"/>
      <c r="E70" s="708"/>
      <c r="F70" s="708"/>
      <c r="G70" s="708"/>
      <c r="H70" s="708"/>
      <c r="I70" s="708"/>
      <c r="J70" s="708"/>
      <c r="K70" s="708"/>
      <c r="L70" s="708"/>
      <c r="M70" s="708"/>
      <c r="N70" s="708"/>
      <c r="O70" s="708"/>
      <c r="P70" s="708"/>
      <c r="Q70" s="708"/>
      <c r="R70" s="708"/>
      <c r="S70" s="708"/>
      <c r="T70" s="708"/>
      <c r="U70" s="708"/>
      <c r="V70" s="708"/>
    </row>
    <row r="71" spans="1:24" s="84" customFormat="1" ht="15.75" customHeight="1">
      <c r="A71" s="584"/>
      <c r="B71" s="707" t="s">
        <v>241</v>
      </c>
      <c r="C71" s="707"/>
      <c r="D71" s="707"/>
      <c r="E71" s="707"/>
      <c r="F71" s="707"/>
      <c r="G71" s="707"/>
      <c r="H71" s="707"/>
      <c r="I71" s="707"/>
      <c r="J71" s="707"/>
      <c r="K71" s="707"/>
      <c r="L71" s="707"/>
      <c r="M71" s="707"/>
      <c r="N71" s="707"/>
      <c r="O71" s="707"/>
      <c r="P71" s="707"/>
      <c r="Q71" s="707"/>
      <c r="R71" s="707"/>
      <c r="S71" s="707"/>
      <c r="T71" s="707"/>
      <c r="U71" s="707"/>
      <c r="V71" s="707"/>
    </row>
    <row r="72" spans="1:24" s="84" customFormat="1" ht="13.5" customHeight="1">
      <c r="A72" s="705"/>
      <c r="B72" s="705"/>
      <c r="C72" s="705"/>
      <c r="D72" s="555"/>
      <c r="E72" s="555"/>
      <c r="F72" s="555"/>
      <c r="G72" s="555"/>
      <c r="H72" s="555"/>
      <c r="I72" s="555"/>
      <c r="J72" s="555"/>
      <c r="K72" s="555"/>
      <c r="L72" s="584"/>
      <c r="M72" s="584"/>
      <c r="N72" s="584"/>
      <c r="O72" s="585"/>
      <c r="P72" s="585"/>
      <c r="Q72" s="586"/>
      <c r="R72" s="555"/>
      <c r="S72" s="585"/>
      <c r="T72" s="585"/>
      <c r="U72" s="585"/>
      <c r="V72" s="585"/>
    </row>
    <row r="73" spans="1:24" s="84" customFormat="1" ht="13.5" customHeight="1">
      <c r="A73" s="705"/>
      <c r="B73" s="705"/>
      <c r="C73" s="705"/>
      <c r="D73" s="705"/>
      <c r="E73" s="555"/>
      <c r="F73" s="555"/>
      <c r="G73" s="555"/>
      <c r="H73" s="555"/>
      <c r="I73" s="555"/>
      <c r="J73" s="555"/>
      <c r="K73" s="555"/>
      <c r="L73" s="555"/>
      <c r="M73" s="555"/>
      <c r="N73" s="555"/>
      <c r="O73" s="555"/>
      <c r="P73" s="555"/>
      <c r="Q73" s="555"/>
      <c r="R73" s="555"/>
      <c r="S73" s="555"/>
      <c r="T73" s="555"/>
      <c r="U73" s="555"/>
      <c r="V73" s="555"/>
    </row>
    <row r="74" spans="1:24" s="84" customFormat="1" ht="13.5" customHeight="1">
      <c r="A74" s="706"/>
      <c r="B74" s="706"/>
      <c r="C74" s="706"/>
      <c r="D74" s="706"/>
      <c r="E74" s="706"/>
      <c r="F74" s="706"/>
      <c r="G74" s="706"/>
      <c r="H74" s="706"/>
      <c r="I74" s="706"/>
      <c r="J74" s="706"/>
      <c r="K74" s="706"/>
      <c r="L74" s="706"/>
      <c r="M74" s="706"/>
      <c r="N74" s="706"/>
      <c r="O74" s="706"/>
      <c r="P74" s="706"/>
      <c r="Q74" s="706"/>
      <c r="R74" s="706"/>
      <c r="S74" s="706"/>
      <c r="T74" s="706"/>
      <c r="U74" s="706"/>
      <c r="V74" s="706"/>
    </row>
    <row r="75" spans="1:24" s="84" customFormat="1" ht="6.75" customHeight="1"/>
    <row r="76" spans="1:24" s="84" customFormat="1" ht="15.6">
      <c r="A76" s="701"/>
      <c r="B76" s="701"/>
      <c r="C76" s="701"/>
      <c r="D76" s="701"/>
      <c r="E76" s="701"/>
      <c r="F76" s="701"/>
      <c r="G76" s="701"/>
      <c r="H76" s="701"/>
      <c r="I76" s="701"/>
      <c r="J76" s="701"/>
      <c r="K76" s="701"/>
      <c r="L76" s="701"/>
      <c r="M76" s="701"/>
      <c r="N76" s="701"/>
      <c r="O76" s="701"/>
      <c r="P76" s="701"/>
      <c r="Q76" s="701"/>
      <c r="R76" s="701"/>
      <c r="S76" s="701"/>
      <c r="T76" s="701"/>
      <c r="U76" s="701"/>
      <c r="V76" s="701"/>
    </row>
    <row r="77" spans="1:24" s="84" customFormat="1" ht="15.75" customHeight="1">
      <c r="A77" s="702"/>
      <c r="B77" s="702"/>
      <c r="C77" s="85"/>
      <c r="D77" s="587"/>
      <c r="E77" s="85"/>
      <c r="F77" s="85"/>
      <c r="G77" s="85"/>
      <c r="H77" s="85"/>
      <c r="I77" s="85"/>
      <c r="J77" s="85"/>
      <c r="K77" s="85"/>
      <c r="L77" s="85"/>
      <c r="M77" s="85"/>
      <c r="N77" s="588"/>
      <c r="O77" s="85"/>
      <c r="P77" s="85"/>
      <c r="Q77" s="85"/>
      <c r="R77" s="85"/>
      <c r="S77" s="85"/>
      <c r="T77" s="85"/>
      <c r="U77" s="85"/>
      <c r="V77" s="85"/>
    </row>
  </sheetData>
  <mergeCells count="229">
    <mergeCell ref="B54:C54"/>
    <mergeCell ref="N54:O54"/>
    <mergeCell ref="P54:V54"/>
    <mergeCell ref="H36:J36"/>
    <mergeCell ref="H38:J38"/>
    <mergeCell ref="H37:J37"/>
    <mergeCell ref="K36:Q36"/>
    <mergeCell ref="N53:O53"/>
    <mergeCell ref="P53:V53"/>
    <mergeCell ref="A50:B50"/>
    <mergeCell ref="A36:C36"/>
    <mergeCell ref="D37:E37"/>
    <mergeCell ref="B53:C53"/>
    <mergeCell ref="O49:Q49"/>
    <mergeCell ref="L45:N45"/>
    <mergeCell ref="D45:E45"/>
    <mergeCell ref="D46:E46"/>
    <mergeCell ref="K39:Q39"/>
    <mergeCell ref="R37:V37"/>
    <mergeCell ref="A42:V42"/>
    <mergeCell ref="K37:Q37"/>
    <mergeCell ref="F38:G38"/>
    <mergeCell ref="R38:V38"/>
    <mergeCell ref="R39:V39"/>
    <mergeCell ref="A49:B49"/>
    <mergeCell ref="R36:V36"/>
    <mergeCell ref="H49:K49"/>
    <mergeCell ref="H44:K44"/>
    <mergeCell ref="O47:Q47"/>
    <mergeCell ref="R44:T44"/>
    <mergeCell ref="U44:V44"/>
    <mergeCell ref="R45:T45"/>
    <mergeCell ref="R46:T46"/>
    <mergeCell ref="H45:K45"/>
    <mergeCell ref="A47:B47"/>
    <mergeCell ref="A48:B48"/>
    <mergeCell ref="A40:C40"/>
    <mergeCell ref="F36:G36"/>
    <mergeCell ref="R40:V40"/>
    <mergeCell ref="A46:B46"/>
    <mergeCell ref="A44:B44"/>
    <mergeCell ref="A37:C37"/>
    <mergeCell ref="D36:E36"/>
    <mergeCell ref="D38:E38"/>
    <mergeCell ref="K38:Q38"/>
    <mergeCell ref="D44:E44"/>
    <mergeCell ref="F44:G44"/>
    <mergeCell ref="H39:J39"/>
    <mergeCell ref="P58:Q58"/>
    <mergeCell ref="D59:E59"/>
    <mergeCell ref="U49:V49"/>
    <mergeCell ref="R49:T49"/>
    <mergeCell ref="D47:E47"/>
    <mergeCell ref="F47:G47"/>
    <mergeCell ref="F48:G48"/>
    <mergeCell ref="L48:N48"/>
    <mergeCell ref="U45:V45"/>
    <mergeCell ref="R48:T48"/>
    <mergeCell ref="F50:G50"/>
    <mergeCell ref="F49:G49"/>
    <mergeCell ref="D49:E49"/>
    <mergeCell ref="H47:K47"/>
    <mergeCell ref="D48:E48"/>
    <mergeCell ref="O48:Q48"/>
    <mergeCell ref="L46:N46"/>
    <mergeCell ref="F46:G46"/>
    <mergeCell ref="U48:V48"/>
    <mergeCell ref="U46:V46"/>
    <mergeCell ref="U47:V47"/>
    <mergeCell ref="P67:V67"/>
    <mergeCell ref="D57:E57"/>
    <mergeCell ref="P56:Q56"/>
    <mergeCell ref="P57:Q57"/>
    <mergeCell ref="J56:K56"/>
    <mergeCell ref="H67:L67"/>
    <mergeCell ref="L65:M65"/>
    <mergeCell ref="L64:Q64"/>
    <mergeCell ref="R50:T50"/>
    <mergeCell ref="P65:Q65"/>
    <mergeCell ref="R62:S62"/>
    <mergeCell ref="R63:S63"/>
    <mergeCell ref="R64:S64"/>
    <mergeCell ref="L63:Q63"/>
    <mergeCell ref="O50:Q50"/>
    <mergeCell ref="L50:N50"/>
    <mergeCell ref="U50:V50"/>
    <mergeCell ref="P60:Q60"/>
    <mergeCell ref="P59:Q59"/>
    <mergeCell ref="H50:K50"/>
    <mergeCell ref="D64:F64"/>
    <mergeCell ref="H64:J64"/>
    <mergeCell ref="D50:E50"/>
    <mergeCell ref="P61:Q61"/>
    <mergeCell ref="B52:C52"/>
    <mergeCell ref="H48:K48"/>
    <mergeCell ref="A51:V51"/>
    <mergeCell ref="N52:O52"/>
    <mergeCell ref="L47:N47"/>
    <mergeCell ref="L49:N49"/>
    <mergeCell ref="A76:V76"/>
    <mergeCell ref="A77:B77"/>
    <mergeCell ref="L68:V68"/>
    <mergeCell ref="J68:K68"/>
    <mergeCell ref="A69:V69"/>
    <mergeCell ref="D68:H68"/>
    <mergeCell ref="A72:C72"/>
    <mergeCell ref="A73:D73"/>
    <mergeCell ref="A74:V74"/>
    <mergeCell ref="B71:V71"/>
    <mergeCell ref="A70:V70"/>
    <mergeCell ref="D60:E60"/>
    <mergeCell ref="F60:H60"/>
    <mergeCell ref="J60:K60"/>
    <mergeCell ref="G52:K52"/>
    <mergeCell ref="P52:V52"/>
    <mergeCell ref="R47:T47"/>
    <mergeCell ref="B64:C64"/>
    <mergeCell ref="B63:C63"/>
    <mergeCell ref="D63:F63"/>
    <mergeCell ref="H63:J63"/>
    <mergeCell ref="H62:J62"/>
    <mergeCell ref="J57:K57"/>
    <mergeCell ref="D56:E56"/>
    <mergeCell ref="D62:F62"/>
    <mergeCell ref="J59:K59"/>
    <mergeCell ref="B62:C62"/>
    <mergeCell ref="F57:H57"/>
    <mergeCell ref="F56:H56"/>
    <mergeCell ref="F59:H59"/>
    <mergeCell ref="D58:E58"/>
    <mergeCell ref="F58:H58"/>
    <mergeCell ref="J58:K58"/>
    <mergeCell ref="F61:H61"/>
    <mergeCell ref="J61:K61"/>
    <mergeCell ref="K15:O16"/>
    <mergeCell ref="A23:C23"/>
    <mergeCell ref="A24:C24"/>
    <mergeCell ref="A35:C35"/>
    <mergeCell ref="H35:J35"/>
    <mergeCell ref="K34:Q34"/>
    <mergeCell ref="A33:C34"/>
    <mergeCell ref="I24:K24"/>
    <mergeCell ref="L20:V20"/>
    <mergeCell ref="A32:V32"/>
    <mergeCell ref="F35:G35"/>
    <mergeCell ref="D35:E35"/>
    <mergeCell ref="F33:G34"/>
    <mergeCell ref="R35:V35"/>
    <mergeCell ref="K33:Q33"/>
    <mergeCell ref="R33:V34"/>
    <mergeCell ref="K35:Q35"/>
    <mergeCell ref="R23:U23"/>
    <mergeCell ref="D23:E23"/>
    <mergeCell ref="F23:K23"/>
    <mergeCell ref="P9:V9"/>
    <mergeCell ref="A21:J21"/>
    <mergeCell ref="D40:E40"/>
    <mergeCell ref="F40:G40"/>
    <mergeCell ref="H40:J40"/>
    <mergeCell ref="A45:B45"/>
    <mergeCell ref="H33:J34"/>
    <mergeCell ref="D33:E34"/>
    <mergeCell ref="A9:O9"/>
    <mergeCell ref="A18:O18"/>
    <mergeCell ref="K19:V19"/>
    <mergeCell ref="C14:D14"/>
    <mergeCell ref="B13:E13"/>
    <mergeCell ref="C15:H16"/>
    <mergeCell ref="P18:T18"/>
    <mergeCell ref="I15:J16"/>
    <mergeCell ref="F17:O17"/>
    <mergeCell ref="I13:J13"/>
    <mergeCell ref="K14:M14"/>
    <mergeCell ref="A19:J19"/>
    <mergeCell ref="A20:B20"/>
    <mergeCell ref="A27:B27"/>
    <mergeCell ref="A17:E17"/>
    <mergeCell ref="L13:O13"/>
    <mergeCell ref="F39:G39"/>
    <mergeCell ref="D24:E24"/>
    <mergeCell ref="D25:E25"/>
    <mergeCell ref="J26:N26"/>
    <mergeCell ref="M25:V25"/>
    <mergeCell ref="Q24:V24"/>
    <mergeCell ref="M24:P24"/>
    <mergeCell ref="C30:V30"/>
    <mergeCell ref="O26:V26"/>
    <mergeCell ref="H25:L25"/>
    <mergeCell ref="C27:V27"/>
    <mergeCell ref="O44:Q44"/>
    <mergeCell ref="O45:Q45"/>
    <mergeCell ref="O46:Q46"/>
    <mergeCell ref="K40:Q40"/>
    <mergeCell ref="L44:N44"/>
    <mergeCell ref="H46:K46"/>
    <mergeCell ref="F45:G45"/>
    <mergeCell ref="E14:G14"/>
    <mergeCell ref="H14:J14"/>
    <mergeCell ref="A26:E26"/>
    <mergeCell ref="F25:G25"/>
    <mergeCell ref="A25:C25"/>
    <mergeCell ref="K21:V21"/>
    <mergeCell ref="C28:V28"/>
    <mergeCell ref="C29:V29"/>
    <mergeCell ref="F26:G26"/>
    <mergeCell ref="C20:J20"/>
    <mergeCell ref="A39:C39"/>
    <mergeCell ref="D39:E39"/>
    <mergeCell ref="A38:C38"/>
    <mergeCell ref="F37:G37"/>
    <mergeCell ref="A15:B16"/>
    <mergeCell ref="A31:V31"/>
    <mergeCell ref="L23:P23"/>
    <mergeCell ref="A3:L3"/>
    <mergeCell ref="A1:L1"/>
    <mergeCell ref="A2:L2"/>
    <mergeCell ref="M1:O3"/>
    <mergeCell ref="K11:O11"/>
    <mergeCell ref="A5:O5"/>
    <mergeCell ref="A6:O6"/>
    <mergeCell ref="A7:O7"/>
    <mergeCell ref="C12:J12"/>
    <mergeCell ref="L12:O12"/>
    <mergeCell ref="A4:O4"/>
    <mergeCell ref="K10:O10"/>
    <mergeCell ref="A10:C10"/>
    <mergeCell ref="D10:F10"/>
    <mergeCell ref="A12:B12"/>
    <mergeCell ref="A8:O8"/>
  </mergeCells>
  <printOptions horizontalCentered="1"/>
  <pageMargins left="0" right="0" top="0" bottom="0" header="0" footer="0"/>
  <pageSetup scale="71" orientation="portrait" r:id="rId1"/>
  <headerFooter alignWithMargins="0"/>
  <drawing r:id="rId2"/>
  <legacyDrawing r:id="rId3"/>
  <oleObjects>
    <mc:AlternateContent xmlns:mc="http://schemas.openxmlformats.org/markup-compatibility/2006">
      <mc:Choice Requires="x14">
        <oleObject progId="Word.Document.8" shapeId="7169" r:id="rId4">
          <objectPr defaultSize="0" autoFill="0" autoLine="0" r:id="rId5">
            <anchor moveWithCells="1">
              <from>
                <xdr:col>3</xdr:col>
                <xdr:colOff>213360</xdr:colOff>
                <xdr:row>22</xdr:row>
                <xdr:rowOff>22860</xdr:rowOff>
              </from>
              <to>
                <xdr:col>4</xdr:col>
                <xdr:colOff>106680</xdr:colOff>
                <xdr:row>22</xdr:row>
                <xdr:rowOff>160020</xdr:rowOff>
              </to>
            </anchor>
          </objectPr>
        </oleObject>
      </mc:Choice>
      <mc:Fallback>
        <oleObject progId="Word.Document.8" shapeId="7169" r:id="rId4"/>
      </mc:Fallback>
    </mc:AlternateContent>
    <mc:AlternateContent xmlns:mc="http://schemas.openxmlformats.org/markup-compatibility/2006">
      <mc:Choice Requires="x14">
        <oleObject progId="Word.Document.8" shapeId="7170" r:id="rId6">
          <objectPr defaultSize="0" autoFill="0" autoLine="0" r:id="rId7">
            <anchor moveWithCells="1">
              <from>
                <xdr:col>5</xdr:col>
                <xdr:colOff>220980</xdr:colOff>
                <xdr:row>23</xdr:row>
                <xdr:rowOff>22860</xdr:rowOff>
              </from>
              <to>
                <xdr:col>6</xdr:col>
                <xdr:colOff>220980</xdr:colOff>
                <xdr:row>23</xdr:row>
                <xdr:rowOff>160020</xdr:rowOff>
              </to>
            </anchor>
          </objectPr>
        </oleObject>
      </mc:Choice>
      <mc:Fallback>
        <oleObject progId="Word.Document.8" shapeId="7170" r:id="rId6"/>
      </mc:Fallback>
    </mc:AlternateContent>
    <mc:AlternateContent xmlns:mc="http://schemas.openxmlformats.org/markup-compatibility/2006">
      <mc:Choice Requires="x14">
        <oleObject progId="Word.Document.8" shapeId="7171" r:id="rId8">
          <objectPr defaultSize="0" autoFill="0" autoLine="0" r:id="rId9">
            <anchor moveWithCells="1">
              <from>
                <xdr:col>5</xdr:col>
                <xdr:colOff>213360</xdr:colOff>
                <xdr:row>22</xdr:row>
                <xdr:rowOff>22860</xdr:rowOff>
              </from>
              <to>
                <xdr:col>11</xdr:col>
                <xdr:colOff>60960</xdr:colOff>
                <xdr:row>23</xdr:row>
                <xdr:rowOff>7620</xdr:rowOff>
              </to>
            </anchor>
          </objectPr>
        </oleObject>
      </mc:Choice>
      <mc:Fallback>
        <oleObject progId="Word.Document.8" shapeId="7171" r:id="rId8"/>
      </mc:Fallback>
    </mc:AlternateContent>
    <mc:AlternateContent xmlns:mc="http://schemas.openxmlformats.org/markup-compatibility/2006">
      <mc:Choice Requires="x14">
        <oleObject progId="Word.Document.8" shapeId="7172" r:id="rId10">
          <objectPr defaultSize="0" autoFill="0" autoLine="0" r:id="rId11">
            <anchor moveWithCells="1">
              <from>
                <xdr:col>3</xdr:col>
                <xdr:colOff>213360</xdr:colOff>
                <xdr:row>23</xdr:row>
                <xdr:rowOff>30480</xdr:rowOff>
              </from>
              <to>
                <xdr:col>4</xdr:col>
                <xdr:colOff>106680</xdr:colOff>
                <xdr:row>24</xdr:row>
                <xdr:rowOff>0</xdr:rowOff>
              </to>
            </anchor>
          </objectPr>
        </oleObject>
      </mc:Choice>
      <mc:Fallback>
        <oleObject progId="Word.Document.8" shapeId="7172" r:id="rId10"/>
      </mc:Fallback>
    </mc:AlternateContent>
    <mc:AlternateContent xmlns:mc="http://schemas.openxmlformats.org/markup-compatibility/2006">
      <mc:Choice Requires="x14">
        <oleObject progId="Word.Document.8" shapeId="7173" r:id="rId12">
          <objectPr defaultSize="0" autoFill="0" autoLine="0" r:id="rId13">
            <anchor moveWithCells="1">
              <from>
                <xdr:col>11</xdr:col>
                <xdr:colOff>190500</xdr:colOff>
                <xdr:row>22</xdr:row>
                <xdr:rowOff>7620</xdr:rowOff>
              </from>
              <to>
                <xdr:col>17</xdr:col>
                <xdr:colOff>7620</xdr:colOff>
                <xdr:row>23</xdr:row>
                <xdr:rowOff>0</xdr:rowOff>
              </to>
            </anchor>
          </objectPr>
        </oleObject>
      </mc:Choice>
      <mc:Fallback>
        <oleObject progId="Word.Document.8" shapeId="7173" r:id="rId12"/>
      </mc:Fallback>
    </mc:AlternateContent>
    <mc:AlternateContent xmlns:mc="http://schemas.openxmlformats.org/markup-compatibility/2006">
      <mc:Choice Requires="x14">
        <oleObject progId="Word.Document.8" shapeId="7174" r:id="rId14">
          <objectPr defaultSize="0" autoFill="0" autoLine="0" r:id="rId15">
            <anchor moveWithCells="1">
              <from>
                <xdr:col>16</xdr:col>
                <xdr:colOff>190500</xdr:colOff>
                <xdr:row>22</xdr:row>
                <xdr:rowOff>0</xdr:rowOff>
              </from>
              <to>
                <xdr:col>16</xdr:col>
                <xdr:colOff>609600</xdr:colOff>
                <xdr:row>22</xdr:row>
                <xdr:rowOff>160020</xdr:rowOff>
              </to>
            </anchor>
          </objectPr>
        </oleObject>
      </mc:Choice>
      <mc:Fallback>
        <oleObject progId="Word.Document.8" shapeId="7174" r:id="rId14"/>
      </mc:Fallback>
    </mc:AlternateContent>
    <mc:AlternateContent xmlns:mc="http://schemas.openxmlformats.org/markup-compatibility/2006">
      <mc:Choice Requires="x14">
        <oleObject progId="Word.Document.8" shapeId="7175" r:id="rId16">
          <objectPr defaultSize="0" autoFill="0" autoLine="0" r:id="rId17">
            <anchor moveWithCells="1">
              <from>
                <xdr:col>5</xdr:col>
                <xdr:colOff>213360</xdr:colOff>
                <xdr:row>25</xdr:row>
                <xdr:rowOff>7620</xdr:rowOff>
              </from>
              <to>
                <xdr:col>6</xdr:col>
                <xdr:colOff>213360</xdr:colOff>
                <xdr:row>25</xdr:row>
                <xdr:rowOff>152400</xdr:rowOff>
              </to>
            </anchor>
          </objectPr>
        </oleObject>
      </mc:Choice>
      <mc:Fallback>
        <oleObject progId="Word.Document.8" shapeId="7175" r:id="rId16"/>
      </mc:Fallback>
    </mc:AlternateContent>
    <mc:AlternateContent xmlns:mc="http://schemas.openxmlformats.org/markup-compatibility/2006">
      <mc:Choice Requires="x14">
        <oleObject progId="Word.Document.8" shapeId="7176" r:id="rId18">
          <objectPr defaultSize="0" autoFill="0" autoLine="0" r:id="rId19">
            <anchor moveWithCells="1">
              <from>
                <xdr:col>15</xdr:col>
                <xdr:colOff>45720</xdr:colOff>
                <xdr:row>51</xdr:row>
                <xdr:rowOff>106680</xdr:rowOff>
              </from>
              <to>
                <xdr:col>20</xdr:col>
                <xdr:colOff>144780</xdr:colOff>
                <xdr:row>52</xdr:row>
                <xdr:rowOff>7620</xdr:rowOff>
              </to>
            </anchor>
          </objectPr>
        </oleObject>
      </mc:Choice>
      <mc:Fallback>
        <oleObject progId="Word.Document.8" shapeId="7176" r:id="rId18"/>
      </mc:Fallback>
    </mc:AlternateContent>
    <mc:AlternateContent xmlns:mc="http://schemas.openxmlformats.org/markup-compatibility/2006">
      <mc:Choice Requires="x14">
        <oleObject progId="Word.Document.8" shapeId="7177" r:id="rId20">
          <objectPr defaultSize="0" r:id="rId21">
            <anchor moveWithCells="1">
              <from>
                <xdr:col>16</xdr:col>
                <xdr:colOff>617220</xdr:colOff>
                <xdr:row>51</xdr:row>
                <xdr:rowOff>22860</xdr:rowOff>
              </from>
              <to>
                <xdr:col>21</xdr:col>
                <xdr:colOff>236220</xdr:colOff>
                <xdr:row>52</xdr:row>
                <xdr:rowOff>0</xdr:rowOff>
              </to>
            </anchor>
          </objectPr>
        </oleObject>
      </mc:Choice>
      <mc:Fallback>
        <oleObject progId="Word.Document.8" shapeId="7177" r:id="rId20"/>
      </mc:Fallback>
    </mc:AlternateContent>
    <mc:AlternateContent xmlns:mc="http://schemas.openxmlformats.org/markup-compatibility/2006">
      <mc:Choice Requires="x14">
        <oleObject progId="Word.Document.8" shapeId="7178" r:id="rId22">
          <objectPr defaultSize="0" autoFill="0" autoLine="0" r:id="rId23">
            <anchor moveWithCells="1">
              <from>
                <xdr:col>12</xdr:col>
                <xdr:colOff>60960</xdr:colOff>
                <xdr:row>51</xdr:row>
                <xdr:rowOff>106680</xdr:rowOff>
              </from>
              <to>
                <xdr:col>13</xdr:col>
                <xdr:colOff>251460</xdr:colOff>
                <xdr:row>52</xdr:row>
                <xdr:rowOff>7620</xdr:rowOff>
              </to>
            </anchor>
          </objectPr>
        </oleObject>
      </mc:Choice>
      <mc:Fallback>
        <oleObject progId="Word.Document.8" shapeId="7178" r:id="rId22"/>
      </mc:Fallback>
    </mc:AlternateContent>
    <mc:AlternateContent xmlns:mc="http://schemas.openxmlformats.org/markup-compatibility/2006">
      <mc:Choice Requires="x14">
        <oleObject progId="Word.Document.8" shapeId="7179" r:id="rId24">
          <objectPr defaultSize="0" autoFill="0" autoLine="0" r:id="rId7">
            <anchor moveWithCells="1">
              <from>
                <xdr:col>5</xdr:col>
                <xdr:colOff>220980</xdr:colOff>
                <xdr:row>24</xdr:row>
                <xdr:rowOff>22860</xdr:rowOff>
              </from>
              <to>
                <xdr:col>6</xdr:col>
                <xdr:colOff>220980</xdr:colOff>
                <xdr:row>24</xdr:row>
                <xdr:rowOff>160020</xdr:rowOff>
              </to>
            </anchor>
          </objectPr>
        </oleObject>
      </mc:Choice>
      <mc:Fallback>
        <oleObject progId="Word.Document.8" shapeId="7179" r:id="rId24"/>
      </mc:Fallback>
    </mc:AlternateContent>
    <mc:AlternateContent xmlns:mc="http://schemas.openxmlformats.org/markup-compatibility/2006">
      <mc:Choice Requires="x14">
        <oleObject progId="Word.Document.8" shapeId="7180" r:id="rId25">
          <objectPr defaultSize="0" autoFill="0" autoLine="0" r:id="rId17">
            <anchor moveWithCells="1">
              <from>
                <xdr:col>3</xdr:col>
                <xdr:colOff>213360</xdr:colOff>
                <xdr:row>24</xdr:row>
                <xdr:rowOff>30480</xdr:rowOff>
              </from>
              <to>
                <xdr:col>4</xdr:col>
                <xdr:colOff>106680</xdr:colOff>
                <xdr:row>25</xdr:row>
                <xdr:rowOff>0</xdr:rowOff>
              </to>
            </anchor>
          </objectPr>
        </oleObject>
      </mc:Choice>
      <mc:Fallback>
        <oleObject progId="Word.Document.8" shapeId="7180" r:id="rId25"/>
      </mc:Fallback>
    </mc:AlternateContent>
    <mc:AlternateContent xmlns:mc="http://schemas.openxmlformats.org/markup-compatibility/2006">
      <mc:Choice Requires="x14">
        <oleObject progId="Word.Document.8" shapeId="7181" r:id="rId26">
          <objectPr defaultSize="0" autoFill="0" autoLine="0" autoPict="0" r:id="rId27">
            <anchor moveWithCells="1">
              <from>
                <xdr:col>15</xdr:col>
                <xdr:colOff>45720</xdr:colOff>
                <xdr:row>52</xdr:row>
                <xdr:rowOff>106680</xdr:rowOff>
              </from>
              <to>
                <xdr:col>20</xdr:col>
                <xdr:colOff>160020</xdr:colOff>
                <xdr:row>53</xdr:row>
                <xdr:rowOff>7620</xdr:rowOff>
              </to>
            </anchor>
          </objectPr>
        </oleObject>
      </mc:Choice>
      <mc:Fallback>
        <oleObject progId="Word.Document.8" shapeId="7181" r:id="rId26"/>
      </mc:Fallback>
    </mc:AlternateContent>
    <mc:AlternateContent xmlns:mc="http://schemas.openxmlformats.org/markup-compatibility/2006">
      <mc:Choice Requires="x14">
        <oleObject progId="Word.Document.8" shapeId="7182" r:id="rId28">
          <objectPr defaultSize="0" autoFill="0" autoLine="0" autoPict="0" r:id="rId29">
            <anchor moveWithCells="1">
              <from>
                <xdr:col>12</xdr:col>
                <xdr:colOff>60960</xdr:colOff>
                <xdr:row>52</xdr:row>
                <xdr:rowOff>106680</xdr:rowOff>
              </from>
              <to>
                <xdr:col>13</xdr:col>
                <xdr:colOff>259080</xdr:colOff>
                <xdr:row>53</xdr:row>
                <xdr:rowOff>7620</xdr:rowOff>
              </to>
            </anchor>
          </objectPr>
        </oleObject>
      </mc:Choice>
      <mc:Fallback>
        <oleObject progId="Word.Document.8" shapeId="7182" r:id="rId28"/>
      </mc:Fallback>
    </mc:AlternateContent>
    <mc:AlternateContent xmlns:mc="http://schemas.openxmlformats.org/markup-compatibility/2006">
      <mc:Choice Requires="x14">
        <oleObject progId="Word.Document.8" shapeId="7183" r:id="rId30">
          <objectPr defaultSize="0" autoFill="0" autoLine="0" r:id="rId31">
            <anchor moveWithCells="1">
              <from>
                <xdr:col>15</xdr:col>
                <xdr:colOff>45720</xdr:colOff>
                <xdr:row>52</xdr:row>
                <xdr:rowOff>106680</xdr:rowOff>
              </from>
              <to>
                <xdr:col>20</xdr:col>
                <xdr:colOff>144780</xdr:colOff>
                <xdr:row>53</xdr:row>
                <xdr:rowOff>7620</xdr:rowOff>
              </to>
            </anchor>
          </objectPr>
        </oleObject>
      </mc:Choice>
      <mc:Fallback>
        <oleObject progId="Word.Document.8" shapeId="7183" r:id="rId30"/>
      </mc:Fallback>
    </mc:AlternateContent>
    <mc:AlternateContent xmlns:mc="http://schemas.openxmlformats.org/markup-compatibility/2006">
      <mc:Choice Requires="x14">
        <oleObject progId="Word.Document.8" shapeId="7184" r:id="rId32">
          <objectPr defaultSize="0" autoFill="0" autoLine="0" r:id="rId33">
            <anchor moveWithCells="1">
              <from>
                <xdr:col>12</xdr:col>
                <xdr:colOff>60960</xdr:colOff>
                <xdr:row>52</xdr:row>
                <xdr:rowOff>106680</xdr:rowOff>
              </from>
              <to>
                <xdr:col>13</xdr:col>
                <xdr:colOff>251460</xdr:colOff>
                <xdr:row>53</xdr:row>
                <xdr:rowOff>7620</xdr:rowOff>
              </to>
            </anchor>
          </objectPr>
        </oleObject>
      </mc:Choice>
      <mc:Fallback>
        <oleObject progId="Word.Document.8" shapeId="7184" r:id="rId32"/>
      </mc:Fallback>
    </mc:AlternateContent>
    <mc:AlternateContent xmlns:mc="http://schemas.openxmlformats.org/markup-compatibility/2006">
      <mc:Choice Requires="x14">
        <oleObject progId="Word.Document.8" shapeId="7185" r:id="rId34">
          <objectPr defaultSize="0" autoFill="0" autoLine="0" r:id="rId35">
            <anchor moveWithCells="1">
              <from>
                <xdr:col>15</xdr:col>
                <xdr:colOff>45720</xdr:colOff>
                <xdr:row>53</xdr:row>
                <xdr:rowOff>106680</xdr:rowOff>
              </from>
              <to>
                <xdr:col>20</xdr:col>
                <xdr:colOff>175260</xdr:colOff>
                <xdr:row>54</xdr:row>
                <xdr:rowOff>7620</xdr:rowOff>
              </to>
            </anchor>
          </objectPr>
        </oleObject>
      </mc:Choice>
      <mc:Fallback>
        <oleObject progId="Word.Document.8" shapeId="7185" r:id="rId34"/>
      </mc:Fallback>
    </mc:AlternateContent>
    <mc:AlternateContent xmlns:mc="http://schemas.openxmlformats.org/markup-compatibility/2006">
      <mc:Choice Requires="x14">
        <oleObject progId="Word.Document.8" shapeId="7186" r:id="rId36">
          <objectPr defaultSize="0" autoFill="0" autoLine="0" r:id="rId37">
            <anchor moveWithCells="1">
              <from>
                <xdr:col>12</xdr:col>
                <xdr:colOff>60960</xdr:colOff>
                <xdr:row>53</xdr:row>
                <xdr:rowOff>106680</xdr:rowOff>
              </from>
              <to>
                <xdr:col>13</xdr:col>
                <xdr:colOff>259080</xdr:colOff>
                <xdr:row>54</xdr:row>
                <xdr:rowOff>7620</xdr:rowOff>
              </to>
            </anchor>
          </objectPr>
        </oleObject>
      </mc:Choice>
      <mc:Fallback>
        <oleObject progId="Word.Document.8" shapeId="7186" r:id="rId36"/>
      </mc:Fallback>
    </mc:AlternateContent>
  </oleObjec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9" tint="-0.249977111117893"/>
    <pageSetUpPr fitToPage="1"/>
  </sheetPr>
  <dimension ref="A1:B30"/>
  <sheetViews>
    <sheetView view="pageBreakPreview" zoomScale="120" zoomScaleNormal="100" zoomScaleSheetLayoutView="120" workbookViewId="0">
      <selection activeCell="A69" sqref="A1:V69"/>
    </sheetView>
  </sheetViews>
  <sheetFormatPr defaultColWidth="9.109375" defaultRowHeight="14.4"/>
  <cols>
    <col min="1" max="1" width="26" style="9" customWidth="1"/>
    <col min="2" max="2" width="53" style="9" customWidth="1"/>
    <col min="3" max="16384" width="9.109375" style="9"/>
  </cols>
  <sheetData>
    <row r="1" spans="1:2" ht="48" customHeight="1" thickBot="1">
      <c r="A1" s="718"/>
      <c r="B1" s="718"/>
    </row>
    <row r="2" spans="1:2" ht="28.2" thickTop="1">
      <c r="A2" s="171" t="s">
        <v>141</v>
      </c>
      <c r="B2" s="26" t="e">
        <f>Well_Name</f>
        <v>#REF!</v>
      </c>
    </row>
    <row r="3" spans="1:2" ht="15">
      <c r="A3" s="27" t="s">
        <v>142</v>
      </c>
      <c r="B3" s="28" t="s">
        <v>143</v>
      </c>
    </row>
    <row r="4" spans="1:2" ht="15">
      <c r="A4" s="172" t="s">
        <v>144</v>
      </c>
      <c r="B4" s="462">
        <v>43404</v>
      </c>
    </row>
    <row r="5" spans="1:2" ht="15">
      <c r="A5" s="27" t="s">
        <v>145</v>
      </c>
      <c r="B5" s="460" t="s">
        <v>675</v>
      </c>
    </row>
    <row r="6" spans="1:2" ht="15">
      <c r="A6" s="172" t="s">
        <v>42</v>
      </c>
      <c r="B6" s="459" t="s">
        <v>673</v>
      </c>
    </row>
    <row r="7" spans="1:2" ht="15">
      <c r="A7" s="27" t="s">
        <v>146</v>
      </c>
      <c r="B7" s="461" t="s">
        <v>676</v>
      </c>
    </row>
    <row r="8" spans="1:2" ht="15">
      <c r="A8" s="172" t="s">
        <v>147</v>
      </c>
      <c r="B8" s="173" t="s">
        <v>677</v>
      </c>
    </row>
    <row r="9" spans="1:2" ht="15">
      <c r="A9" s="27" t="e">
        <f>IF(GYRO_DIR="GYRO","Gyro Date:","Directional Survey Date:")</f>
        <v>#REF!</v>
      </c>
      <c r="B9" s="73" t="e">
        <f>IF(Gyro_Date&lt;&gt;"",Gyro_Date,"NEEDS GYRO")</f>
        <v>#REF!</v>
      </c>
    </row>
    <row r="10" spans="1:2" ht="15">
      <c r="A10" s="172" t="s">
        <v>148</v>
      </c>
      <c r="B10" s="173" t="s">
        <v>672</v>
      </c>
    </row>
    <row r="11" spans="1:2" ht="15">
      <c r="A11" s="27" t="s">
        <v>149</v>
      </c>
      <c r="B11" s="29" t="s">
        <v>208</v>
      </c>
    </row>
    <row r="12" spans="1:2" ht="15">
      <c r="A12" s="172" t="s">
        <v>150</v>
      </c>
      <c r="B12" s="173" t="s">
        <v>151</v>
      </c>
    </row>
    <row r="13" spans="1:2" ht="15">
      <c r="A13" s="27" t="s">
        <v>152</v>
      </c>
      <c r="B13" s="29" t="e">
        <f>IF(CBL_Found__Y_N="Y","Yes","No")</f>
        <v>#REF!</v>
      </c>
    </row>
    <row r="14" spans="1:2" ht="18" customHeight="1">
      <c r="A14" s="172" t="s">
        <v>153</v>
      </c>
      <c r="B14" s="173" t="s">
        <v>151</v>
      </c>
    </row>
    <row r="15" spans="1:2" ht="15">
      <c r="A15" s="27" t="s">
        <v>154</v>
      </c>
      <c r="B15" s="29" t="s">
        <v>151</v>
      </c>
    </row>
    <row r="16" spans="1:2" ht="15">
      <c r="A16" s="172" t="s">
        <v>155</v>
      </c>
      <c r="B16" s="173" t="s">
        <v>156</v>
      </c>
    </row>
    <row r="17" spans="1:2" ht="15">
      <c r="A17" s="27" t="s">
        <v>157</v>
      </c>
      <c r="B17" s="29" t="s">
        <v>156</v>
      </c>
    </row>
    <row r="18" spans="1:2" ht="15">
      <c r="A18" s="172" t="s">
        <v>158</v>
      </c>
      <c r="B18" s="173" t="s">
        <v>156</v>
      </c>
    </row>
    <row r="19" spans="1:2" ht="15">
      <c r="A19" s="27" t="s">
        <v>159</v>
      </c>
      <c r="B19" s="29" t="s">
        <v>156</v>
      </c>
    </row>
    <row r="20" spans="1:2" ht="15">
      <c r="A20" s="172" t="s">
        <v>160</v>
      </c>
      <c r="B20" s="173" t="s">
        <v>156</v>
      </c>
    </row>
    <row r="21" spans="1:2" ht="15">
      <c r="A21" s="30" t="s">
        <v>161</v>
      </c>
      <c r="B21" s="29" t="s">
        <v>156</v>
      </c>
    </row>
    <row r="22" spans="1:2" ht="15">
      <c r="A22" s="174" t="s">
        <v>162</v>
      </c>
      <c r="B22" s="173" t="e">
        <f>IF(SUSX_SH_Productive?__Y_N="Y","Productive","Not Productive")</f>
        <v>#REF!</v>
      </c>
    </row>
    <row r="23" spans="1:2" ht="15">
      <c r="A23" s="30" t="s">
        <v>163</v>
      </c>
      <c r="B23" s="29" t="e">
        <f>IF(SH_Productive?__Y_N="Y","Productive","Not Productive")</f>
        <v>#REF!</v>
      </c>
    </row>
    <row r="24" spans="1:2" ht="15">
      <c r="A24" s="31"/>
      <c r="B24" s="32"/>
    </row>
    <row r="25" spans="1:2" ht="15">
      <c r="A25" s="31"/>
      <c r="B25" s="32"/>
    </row>
    <row r="26" spans="1:2" ht="15">
      <c r="A26" s="31"/>
      <c r="B26" s="32"/>
    </row>
    <row r="27" spans="1:2" ht="15">
      <c r="A27" s="31"/>
      <c r="B27" s="32"/>
    </row>
    <row r="28" spans="1:2">
      <c r="A28" s="33"/>
      <c r="B28" s="33"/>
    </row>
    <row r="29" spans="1:2" ht="15">
      <c r="A29" s="31"/>
      <c r="B29" s="34"/>
    </row>
    <row r="30" spans="1:2">
      <c r="A30" s="35"/>
      <c r="B30" s="33"/>
    </row>
  </sheetData>
  <mergeCells count="1">
    <mergeCell ref="A1:B1"/>
  </mergeCells>
  <printOptions horizontalCentered="1" gridLines="1"/>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theme="8" tint="-0.249977111117893"/>
  </sheetPr>
  <dimension ref="A1:M94"/>
  <sheetViews>
    <sheetView topLeftCell="A31" workbookViewId="0">
      <selection activeCell="A69" sqref="A1:V69"/>
    </sheetView>
  </sheetViews>
  <sheetFormatPr defaultRowHeight="14.4"/>
  <cols>
    <col min="1" max="1" width="5" style="19" customWidth="1"/>
    <col min="2" max="2" width="105.109375" style="9" customWidth="1"/>
  </cols>
  <sheetData>
    <row r="1" spans="1:2">
      <c r="B1" s="6" t="s">
        <v>414</v>
      </c>
    </row>
    <row r="4" spans="1:2">
      <c r="A4" s="24" t="s">
        <v>37</v>
      </c>
      <c r="B4" s="37" t="s">
        <v>527</v>
      </c>
    </row>
    <row r="5" spans="1:2">
      <c r="A5" s="326">
        <v>1</v>
      </c>
      <c r="B5" s="323" t="e">
        <f>IF(Age_of_well__yr&gt;=20,"MIRU WL. ","")&amp;"PU and RIH with ("&amp;Prod_csg__size_wt&amp;") CIBP and set at +/- "&amp;Fmtn_CIBP__ft&amp;"'"&amp;IF(Collar_Above_Fmtn_CIBP__ft&gt;0," (collars at "&amp;Collar_Above_Fmtn_CIBP__ft&amp;"' &amp; "&amp;Collar_Below_Fmtn_CIBP__ft&amp;"').",".")&amp;"  POOH.  RIH and dump "&amp;Bailer_Vol&amp;" sx cement on CIBP.  POOH."</f>
        <v>#REF!</v>
      </c>
    </row>
    <row r="6" spans="1:2" s="9" customFormat="1">
      <c r="A6" s="236"/>
      <c r="B6" s="327"/>
    </row>
    <row r="7" spans="1:2">
      <c r="A7" s="236"/>
    </row>
    <row r="8" spans="1:2" s="9" customFormat="1">
      <c r="A8" s="24"/>
      <c r="B8" s="37" t="s">
        <v>526</v>
      </c>
    </row>
    <row r="9" spans="1:2" s="9" customFormat="1">
      <c r="A9" s="326">
        <v>1</v>
      </c>
      <c r="B9" s="323" t="e">
        <f>IF(Age_of_well__yr&gt;=20,"MIRU WL. ","")&amp;"PU and RIH with ("&amp;Prod_csg__size_wt&amp;") CIBP and set at +/- "&amp;J_Sand_CIBP__ft&amp;"'"&amp;IF(Collar_Above_JSand_CIBP__ft&gt;0," (collars at "&amp;Collar_Above_JSand_CIBP__ft&amp;"' &amp; "&amp;Collar_Below_JSand_CIBP__ft&amp;"').",".")&amp;"  POOH.  RIH and dump "&amp;Bailer_Vol&amp;" sx cement on CIBP.  POOH."</f>
        <v>#REF!</v>
      </c>
    </row>
    <row r="10" spans="1:2" s="9" customFormat="1">
      <c r="A10" s="236"/>
      <c r="B10" s="327"/>
    </row>
    <row r="11" spans="1:2" s="9" customFormat="1">
      <c r="A11" s="236"/>
    </row>
    <row r="12" spans="1:2">
      <c r="B12" s="37" t="s">
        <v>521</v>
      </c>
    </row>
    <row r="13" spans="1:2">
      <c r="A13" s="326">
        <v>1</v>
      </c>
      <c r="B13" s="323" t="e">
        <f>"TOOH, SB "&amp;NB_CICR__ft&amp;"' "&amp;Tubing_OD__in&amp;" tbg.  LD remaining tbg."</f>
        <v>#REF!</v>
      </c>
    </row>
    <row r="14" spans="1:2">
      <c r="A14" s="326">
        <v>2</v>
      </c>
      <c r="B14" s="323" t="e">
        <f>"MIRU WL.  RIH and dump "&amp;Bailer_Vol&amp;" sx cement on CIBP.  POOH.  PU and RIH with two 3-1/8” perf guns with 3 spf, min 0.5” EHD, 120° phasing. Shoot 2' of squeeze holes at "&amp;NB_Bot_Sq_Holes__ft&amp;"' and 4' of squeeze holes at "&amp;NB_Top_Sq_Holes__ft&amp;"'.   RDMO WL."</f>
        <v>#REF!</v>
      </c>
    </row>
    <row r="15" spans="1:2">
      <c r="A15" s="326">
        <v>3</v>
      </c>
      <c r="B15" s="324" t="e">
        <f>"PU and TIH with ("&amp;Prod_csg__size_wt&amp;") CICR on "&amp;Tubing_OD__in&amp;" tbg. Set CICR at "&amp;NB_CICR__ft&amp;"'."</f>
        <v>#REF!</v>
      </c>
    </row>
    <row r="16" spans="1:2" ht="28.8">
      <c r="A16" s="326">
        <v>4</v>
      </c>
      <c r="B16" s="323" t="str">
        <f>"Establish circulation to surface with biocide treated fresh water, and pump 100 bbls to clean up hole.  Max pump pressure is "&amp;NB_Circ_Max_P__psi&amp;" psi with fresh water at "&amp;Pump_Rate__bpm&amp;" bpm.  If unable to circulate at that pressure, contact engineer."</f>
        <v>Establish circulation to surface with biocide treated fresh water, and pump 100 bbls to clean up hole.  Max pump pressure is 2100 psi with fresh water at 2 bpm.  If unable to circulate at that pressure, contact engineer.</v>
      </c>
    </row>
    <row r="17" spans="1:2">
      <c r="A17" s="326">
        <v>5</v>
      </c>
      <c r="B17" s="323" t="e">
        <f>"RU Cementers. Pump 10 bbls (min) of pre-flush, followed by 5 bbls fresh water spacer. Pump Niobrara Squeeze: "&amp;NB_Cement_Vol__sx&amp;" sx ("&amp;ROUNDUP((NB_Cement_Vol__sx*NB_Sq_yld)/5.6146,1)&amp;" bbl or "&amp;ROUNDUP(NB_Cement_Vol__sx*NB_Sq_yld,0)&amp;" cf) Class G cement with 0.25 lb/sk polyflake, assuming "&amp;NB_Sq_ppg&amp;" ppg &amp; "&amp;NB_Sq_yld&amp;" cf/sk.  Max pump pressure is to be "&amp;NB_Sq_Max_P__psi&amp;" psi at "&amp;Pump_Rate__bpm&amp;" bpm with a full column of cement.  Underdisplace by "&amp;NB_Cmt_Above_CICR__bbl&amp;" bbls. Volume is based on "&amp;NB_Bot_Sq_Holes__ft-NB_CICR__ft&amp;"' below the CICR inside "&amp;Prod_csg__size_wt&amp;" production casing with no excess, "&amp;NB_Bot_Sq_Holes__ft-NB_Top_Sq_Holes__ft&amp;"' in the "&amp;Prod_csg__size_wt&amp;" annulus assuming "&amp;Prod_Hole_Size__in&amp;CHAR(34)&amp;" bit size with "&amp;NB_OH_Excess_Factor&amp;"% excess and "&amp;NB_CICR__ft-NB_TOC_in_Casing__ft&amp;"' on top of the CICR to cover top perfs.  Collect wet and dry samples of cement to be left on rig.  RD Cementers."</f>
        <v>#REF!</v>
      </c>
    </row>
    <row r="18" spans="1:2">
      <c r="A18" s="326">
        <v>6</v>
      </c>
      <c r="B18" s="323" t="e">
        <f>"Pull out of cement at a rate of 1 jt/min.  TOOH to "&amp;NB_TOC_in_Casing__ft-500&amp;"’. Reverse circulate to ensure no cement is left in the tbg. "</f>
        <v>#REF!</v>
      </c>
    </row>
    <row r="19" spans="1:2">
      <c r="A19" s="326">
        <v>7</v>
      </c>
      <c r="B19" s="323" t="e">
        <f>"TOOH and SB "&amp;IF(SUSX_SH_Cement_Vol__sx&lt;&gt;0,SUSX_SH_CICR__ft,IF(BH_Cement_Vol__sx&lt;&gt;0,BH_CICR__ft,Stub_Plug_BOC__ft))&amp;"' of "&amp;Tubing_OD__in&amp;" tbg. LD stinger, and remaining tbg."</f>
        <v>#REF!</v>
      </c>
    </row>
    <row r="20" spans="1:2" s="9" customFormat="1">
      <c r="A20" s="236"/>
      <c r="B20" s="327"/>
    </row>
    <row r="21" spans="1:2">
      <c r="A21" s="236"/>
    </row>
    <row r="22" spans="1:2">
      <c r="A22" s="236"/>
      <c r="B22" s="37" t="s">
        <v>520</v>
      </c>
    </row>
    <row r="23" spans="1:2">
      <c r="A23" s="326">
        <v>1</v>
      </c>
      <c r="B23" s="323" t="e">
        <f>"MIRU WL. PU and RIH with two 3-1/8” perf guns with 3 spf, min 0.5” EHD, 120° phasing. Shoot 2' of squeeze holes at "&amp;SUSX_SH_Bot_Sq_Holes__ft&amp;"' and 4' of squeeze holes at "&amp;SUSX_SH_Top_Sq_Holes__ft&amp;"'. RDMO WL."</f>
        <v>#REF!</v>
      </c>
    </row>
    <row r="24" spans="1:2">
      <c r="A24" s="326">
        <v>2</v>
      </c>
      <c r="B24" s="324" t="e">
        <f>"PU and TIH with ("&amp;Prod_csg__size_wt&amp;") CICR on "&amp;Tubing_OD__in&amp;" tbg. Set CICR at "&amp;SUSX_SH_CICR__ft&amp;"'."</f>
        <v>#REF!</v>
      </c>
    </row>
    <row r="25" spans="1:2" ht="28.8">
      <c r="A25" s="326">
        <v>3</v>
      </c>
      <c r="B25" s="323" t="str">
        <f>"Establish circulation to surface with biocide treated fresh water, and pump 100 bbls to clean up hole.  Max pump pressure is "&amp;SUSX_Circ_Max_P__psi&amp;" psi with fresh water at "&amp;Pump_Rate__bpm&amp;" bpm.  If unable to circulate at that pressure, contact engineer."</f>
        <v>Establish circulation to surface with biocide treated fresh water, and pump 100 bbls to clean up hole.  Max pump pressure is 866 psi with fresh water at 2 bpm.  If unable to circulate at that pressure, contact engineer.</v>
      </c>
    </row>
    <row r="26" spans="1:2">
      <c r="A26" s="326">
        <v>4</v>
      </c>
      <c r="B26" s="323" t="e">
        <f>"RU Cementers. Pump 10 bbls (min) of pre-flush, followed by 5 bbls fresh water spacer. Pump Sussex Squeeze: "&amp;SUSX_SH_Cement_Vol__sx&amp;" sx ("&amp;ROUNDUP((SUSX_SH_Cement_Vol__sx*SUSX_Sq_yld)/5.6146,1)&amp;" bbl or "&amp;ROUNDUP(SUSX_SH_Cement_Vol__sx*SUSX_Sq_yld,0)&amp;" cf) TXI cement with 0.25 lb/sk polyflake, assuming "&amp;SUSX_Sq_ppg&amp;" ppg &amp; "&amp;SUSX_Sq_yld&amp;" cf/sk.  Max pump pressure is to be "&amp;SUSX_Sq_Max_P__psi&amp;" psi at "&amp;Pump_Rate__bpm&amp;" bpm with a full column of cement.  Underdisplace by "&amp;SUSX_SH_Cmt_Above_CICR__bbl&amp;" bbls. Volume is based on "&amp;SUSX_SH_Bot_Sq_Holes__ft-SUSX_SH_CICR__ft&amp;"' below the CICR inside "&amp;Prod_csg__size_wt&amp;" production casing with no excess, "&amp;SUSX_SH_Bot_Sq_Holes__ft-SUSX_SH_Top_Sq_Holes__ft&amp;"' in the "&amp;Prod_csg__size_wt&amp;" annulus assuming "&amp;Prod_Hole_Size__in&amp;CHAR(34)&amp;" bit size with "&amp;SUSX_SH_OH_Excess_Factor&amp;"% excess and "&amp;SUSX_SH_CICR__ft-SUSX_SH_TOC_in_Casing__ft&amp;"' on top of the CICR to cover top perfs.  Collect wet and dry samples of cement to be left on rig.  RD Cementers."</f>
        <v>#REF!</v>
      </c>
    </row>
    <row r="27" spans="1:2">
      <c r="A27" s="326">
        <v>5</v>
      </c>
      <c r="B27" s="323" t="e">
        <f>"Pull out of cement at a rate of 1 jt/min.  TOOH to "&amp;SUSX_SH_TOC_in_Casing__ft-500&amp;"’. Reverse circulate to ensure no cement is left in the tbg. "</f>
        <v>#REF!</v>
      </c>
    </row>
    <row r="28" spans="1:2">
      <c r="A28" s="326">
        <v>6</v>
      </c>
      <c r="B28" s="323" t="e">
        <f>"TOOH and SB "&amp;IF(BH_Cement_Vol__sx&lt;&gt;0,BH_CICR__ft,Stub_Plug_BOC__ft)&amp;"' of "&amp;Tubing_OD__in&amp;" tbg. LD stinger, and remaining tbg."</f>
        <v>#REF!</v>
      </c>
    </row>
    <row r="29" spans="1:2">
      <c r="A29" s="236"/>
    </row>
    <row r="30" spans="1:2">
      <c r="A30" s="236"/>
    </row>
    <row r="31" spans="1:2">
      <c r="A31" s="236"/>
      <c r="B31" s="37" t="s">
        <v>519</v>
      </c>
    </row>
    <row r="32" spans="1:2">
      <c r="A32" s="326">
        <v>1</v>
      </c>
      <c r="B32" s="323" t="e">
        <f>"MIRU WL. PU and RIH with two 3-1/8” perf guns with 3 spf, min 0.5” EHD, 120° phasing. Shoot 2' of squeeze holes at "&amp;BH_Bot_Sq_Holes__ft&amp;"' and 4' of squeeze holes at "&amp;BH_Top_Sq_Holes__ft&amp;"'. RDMO WL."</f>
        <v>#REF!</v>
      </c>
    </row>
    <row r="33" spans="1:5">
      <c r="A33" s="326">
        <v>2</v>
      </c>
      <c r="B33" s="324" t="e">
        <f>"PU and TIH with ("&amp;Prod_csg__size_wt&amp;") CICR on "&amp;Tubing_OD__in&amp;" tbg. Set CICR at "&amp;BH_CICR__ft&amp;"'."</f>
        <v>#REF!</v>
      </c>
    </row>
    <row r="34" spans="1:5" ht="28.8">
      <c r="A34" s="326">
        <v>3</v>
      </c>
      <c r="B34" s="323" t="str">
        <f>"Establish circulation to surface with biocide treated fresh water, and pump 100 bbls to clean up hole.  Max pump pressure is "&amp;BH_Circ_Max_P__psi&amp;" psi with fresh water at "&amp;Pump_Rate__bpm&amp;" bpm.  If unable to circulate at that pressure, contact engineer."</f>
        <v>Establish circulation to surface with biocide treated fresh water, and pump 100 bbls to clean up hole.  Max pump pressure is 773 psi with fresh water at 2 bpm.  If unable to circulate at that pressure, contact engineer.</v>
      </c>
    </row>
    <row r="35" spans="1:5">
      <c r="A35" s="326">
        <v>4</v>
      </c>
      <c r="B35" s="323" t="e">
        <f>"RU Cementers. Pump 10 bbls (min) of pre-flush, followed by 5 bbls fresh water spacer. Pump Squeeze: "&amp;BH_Cement_Vol__sx&amp;" sx ("&amp;ROUNDUP((BH_Cement_Vol__sx*BH_Sq_yld)/5.6146,1)&amp;" bbl or "&amp;ROUNDUP(BH_Cement_Vol__sx*BH_Sq_yld,0)&amp;" cf) Class G cement with 0.25 lb/sk polyflake, assuming "&amp;BH_Sq_ppg&amp;" ppg &amp; "&amp;BH_Sq_yld&amp;" cf/sk.  Max pump pressure is to be "&amp;BH_Sq_Max_P__psi&amp;" psi at "&amp;Pump_Rate__bpm&amp;" bpm with a full column of cement.  Underdisplace by "&amp;BH_Cmt_Above_CICR__bbl&amp;" bbls. Volume is based on "&amp;BH_Bot_Sq_Holes__ft-BH_CICR__ft&amp;"' below the CICR inside "&amp;Prod_csg__size_wt&amp;" production casing with no excess, "&amp;BH_Bot_Sq_Holes__ft-BH_Top_Sq_Holes__ft&amp;"' in the "&amp;Prod_csg__size_wt&amp;" annulus assuming "&amp;Prod_Hole_Size__in&amp;CHAR(34)&amp;" bit size with "&amp;BH_OH_Excess_Factor&amp;"% excess and "&amp;BH_CICR__ft-BH_TOC_in_Casing__ft&amp;"' on top of the CICR to cover top perfs.  Collect wet and dry samples of cement to be left on rig.  RD Cementers."</f>
        <v>#REF!</v>
      </c>
      <c r="E35" s="390"/>
    </row>
    <row r="36" spans="1:5">
      <c r="A36" s="326">
        <v>5</v>
      </c>
      <c r="B36" s="323" t="e">
        <f>"Pull out of cement at a rate of 1 jt/min.  TOOH to "&amp;BH_TOC_in_Casing__ft-500&amp;"’. Reverse circulate to ensure no cement is left in the tbg. "</f>
        <v>#REF!</v>
      </c>
    </row>
    <row r="37" spans="1:5">
      <c r="A37" s="326">
        <v>6</v>
      </c>
      <c r="B37" s="323" t="e">
        <f>"TOOH and SB "&amp;Stub_Plug_BOC__ft&amp;"' of "&amp;Tubing_OD__in&amp;" tbg. LD stinger, and remaining tbg."</f>
        <v>#REF!</v>
      </c>
    </row>
    <row r="38" spans="1:5" s="9" customFormat="1">
      <c r="A38" s="236"/>
      <c r="B38" s="327"/>
    </row>
    <row r="39" spans="1:5">
      <c r="A39" s="236"/>
    </row>
    <row r="40" spans="1:5">
      <c r="A40" s="236"/>
      <c r="B40" s="217" t="s">
        <v>424</v>
      </c>
    </row>
    <row r="41" spans="1:5">
      <c r="A41" s="326">
        <v>1</v>
      </c>
      <c r="B41" s="323" t="e">
        <f>"MIRU WL.  PU and RIH with ("&amp;Prod_csg__size_wt&amp;") CIBP and set at +/- "&amp;SUSX_CIBP&amp;"'"&amp;IF(Collar_Above_SUSX_CIBP__ft&gt;0," (collars at "&amp;Collar_Above_SUSX_CIBP__ft&amp;"' &amp; "&amp;Collar_Below_SUSX_CIBP__ft&amp;"').",".")&amp;"  POOH.  RIH and dump "&amp;Bailer_Vol&amp;" sx cement on CIBP.  POOH.  RDMO WL."</f>
        <v>#REF!</v>
      </c>
    </row>
    <row r="42" spans="1:5">
      <c r="A42" s="326">
        <v>2</v>
      </c>
      <c r="B42" s="323" t="e">
        <f>"PU and TIH with mechanical cutter on "&amp;Tubing_OD__in&amp;" tbg. Cut "&amp;Prod_csg__size_wt&amp;" casing at "&amp;Cut_Casing_Depth__ft&amp;"'. TOOH and LD cutter."</f>
        <v>#REF!</v>
      </c>
    </row>
    <row r="43" spans="1:5">
      <c r="A43" s="236"/>
    </row>
    <row r="44" spans="1:5">
      <c r="A44" s="236"/>
    </row>
    <row r="45" spans="1:5">
      <c r="A45" s="236"/>
      <c r="B45" s="6" t="s">
        <v>523</v>
      </c>
    </row>
    <row r="46" spans="1:5" s="9" customFormat="1">
      <c r="A46" s="326">
        <v>1</v>
      </c>
      <c r="B46" s="322" t="e">
        <f>"PU and RIH with ("&amp;Prod_csg__size_wt&amp;") CIBP and set at +/- "&amp;Stub_Lower_CIBP__ft&amp;"'"&amp;IF(Collar_Above_SUSX_CIBP__ft&gt;0," (collars at "&amp;Collar_Above_Lower_Stub_CIBP__ft&amp;"' &amp; "&amp;Collar_Below_Lower_Stub_CIBP__ft&amp;"').",".")&amp;"  POOH.  RIH and dump "&amp;'CMT CALC'!$O$24&amp;"' or "&amp;Stub_Lower_Cmt_above_CIBP__sx&amp;" sx ("&amp;ROUND((Stub_Lower_Cmt_above_CIBP__sx*1.15)/5.6146,1)&amp;" bbl or "&amp;ROUND(Stub_Lower_Cmt_above_CIBP__sx*1.15,1)&amp;" cf) cement on CIBP.  POOH."</f>
        <v>#REF!</v>
      </c>
    </row>
    <row r="47" spans="1:5" s="9" customFormat="1">
      <c r="A47" s="326">
        <v>2</v>
      </c>
      <c r="B47" s="322" t="e">
        <f>"RIH and jet cut "&amp;Prod_csg__size_wt&amp;" casing at "&amp;Cut_Casing_Depth__ft&amp;"'. RDMO WL."</f>
        <v>#REF!</v>
      </c>
    </row>
    <row r="48" spans="1:5" s="9" customFormat="1">
      <c r="A48" s="326">
        <v>3</v>
      </c>
      <c r="B48" s="322" t="e">
        <f>"Attempt to establish circulation and circulate ("&amp;IF(Flush1&lt;=100,Flush1,100)&amp;" bbl) with fresh water containing biocide to remove any gas."</f>
        <v>#REF!</v>
      </c>
    </row>
    <row r="49" spans="1:13" s="9" customFormat="1" ht="28.8">
      <c r="A49" s="326">
        <v>4</v>
      </c>
      <c r="B49" s="322" t="s">
        <v>109</v>
      </c>
    </row>
    <row r="50" spans="1:13" s="13" customFormat="1">
      <c r="A50" s="326">
        <v>5</v>
      </c>
      <c r="B50" s="325" t="e">
        <f>"Install BOP on casing head with "&amp;Prod_csg__size_wt&amp;" pipe rams."</f>
        <v>#REF!</v>
      </c>
      <c r="C50" s="9"/>
    </row>
    <row r="51" spans="1:13" s="13" customFormat="1">
      <c r="A51" s="326">
        <v>6</v>
      </c>
      <c r="B51" s="325" t="e">
        <f>"TOOH and LD all "&amp;Prod_csg__size_wt&amp;" casing. Remove "&amp;Prod_csg__size_wt&amp;" pipe rams and install "&amp;Tubing_OD__in&amp;" pipe rams."</f>
        <v>#REF!</v>
      </c>
      <c r="C51" s="9"/>
    </row>
    <row r="52" spans="1:13" s="9" customFormat="1">
      <c r="A52" s="326">
        <v>7</v>
      </c>
      <c r="B52" s="322" t="e">
        <f>"TIH with mule shoe and "&amp;Tubing_OD__in&amp;" tubing to "&amp;Cut_Casing_Depth__ft&amp;"'."</f>
        <v>#REF!</v>
      </c>
      <c r="C52" s="208"/>
    </row>
    <row r="53" spans="1:13" s="13" customFormat="1">
      <c r="A53" s="326">
        <v>8</v>
      </c>
      <c r="B53" s="325" t="e">
        <f>"Establish circulation to surface with biocide treated fresh water"&amp;IF(Cut_Casing_Depth__ft&gt;0," and pump at least "&amp;IF(Bradenhead_Issues?__Y_N="N","two","three")&amp;" hole-volumes ("&amp;IF(Bradenhead_Issues?__Y_N="N",Flush2,Flush2*1.5)&amp;" bbl) to circulate all gas out of the well.  Contact engineering if evidence of gas migration persists.",".")</f>
        <v>#REF!</v>
      </c>
      <c r="C53" s="9"/>
    </row>
    <row r="54" spans="1:13" s="13" customFormat="1" ht="60.75" customHeight="1">
      <c r="A54" s="326">
        <v>9</v>
      </c>
      <c r="B54" s="325" t="e">
        <f>"RU Cementers. "&amp;IF(Cut_Casing_Depth__ft&lt;=Surface_Casing_Shoe__ft,"","Pump 10 bbls (min) of pre-flush, followed by 5 bbls fresh water spacer.")&amp;" Pump open hole balanced plug: "&amp;Stub_Lower_Cement_Vol__sx&amp;" sx ("&amp;ROUNDUP((Stub_Lower_Cement_Vol__sx*Stub_Plug_yld)/5.6146,1)&amp;" bbl or "&amp;ROUNDUP(Stub_Lower_Cement_Vol__sx*Stub_Plug_yld,0)&amp;" cf) Class G cement with 0.25 lb/sk Polyflake, assuming "&amp;Stub_Plug_ppg&amp;" ppg &amp; "&amp;Stub_Plug_yld&amp;" cf/sk. "&amp;"Volume is based on "&amp;Stub_Lower_Plug_Lenght__ft&amp;"' in "&amp;Prod_Hole_Size__in&amp;CHAR(34)&amp;" bit size open hole with "&amp;OH_Excess_Factor&amp;"% excess factor.  The plug is designed to cover "&amp;Cut_Casing_Depth__ft&amp;"'-"&amp;Stub_Lower_TOC__ft&amp;"'.  Collect wet and dry samples of cement to be left on rig.  RDMO Cementers. Notify engineering if circulation is ever lost during job."</f>
        <v>#REF!</v>
      </c>
      <c r="C54" s="9"/>
    </row>
    <row r="55" spans="1:13" s="9" customFormat="1">
      <c r="A55" s="326">
        <v>10</v>
      </c>
      <c r="B55" s="322" t="e">
        <f>"Pull out of cement at a rate of 1 jt/min.  TOOH to "&amp;Stub_Lower_TOC__ft-500&amp;"'. Reverse circulate using biocide treated fresh water to ensure the tubing is clean.  WOC.  Contact engineer if evidence of gas migration persists."</f>
        <v>#REF!</v>
      </c>
      <c r="E55" s="13"/>
      <c r="F55" s="13"/>
      <c r="G55" s="13"/>
      <c r="H55" s="13"/>
      <c r="I55" s="13"/>
      <c r="J55" s="13"/>
      <c r="K55" s="13"/>
      <c r="L55" s="13"/>
      <c r="M55" s="13"/>
    </row>
    <row r="56" spans="1:13" s="9" customFormat="1">
      <c r="A56" s="326">
        <v>11</v>
      </c>
      <c r="B56" s="322" t="e">
        <f>"Tag cement and verify appropriate coverage. TOOH to "&amp;Stub_Plug_BOC__ft&amp;"'.  LD remaining "&amp;Tubing_OD__in&amp;" tbg."</f>
        <v>#REF!</v>
      </c>
      <c r="C56" s="13"/>
    </row>
    <row r="57" spans="1:13" s="9" customFormat="1">
      <c r="C57" s="13"/>
    </row>
    <row r="58" spans="1:13">
      <c r="A58" s="236"/>
    </row>
    <row r="59" spans="1:13" s="9" customFormat="1">
      <c r="A59" s="236"/>
      <c r="B59" s="6" t="s">
        <v>666</v>
      </c>
    </row>
    <row r="60" spans="1:13" s="9" customFormat="1">
      <c r="A60" s="326">
        <v>1</v>
      </c>
      <c r="B60" s="323" t="e">
        <f>"Run CCL/GR/CBL/VDL log from +/- "&amp;SUSX_CIBP-50&amp;"' to surface to confirm squeeze location.  Run entire log twice, with one pass at 500 psi and one pass at 0 psi on casing. Current CBL squeeze location is "&amp;Hesitation_Bot_Sq_Holes__ft&amp;"'."</f>
        <v>#REF!</v>
      </c>
    </row>
    <row r="61" spans="1:13" s="9" customFormat="1" ht="43.2">
      <c r="A61" s="326">
        <v>2</v>
      </c>
      <c r="B61" s="323" t="s">
        <v>667</v>
      </c>
    </row>
    <row r="62" spans="1:13" s="9" customFormat="1">
      <c r="A62" s="236"/>
    </row>
    <row r="63" spans="1:13" s="9" customFormat="1">
      <c r="A63" s="236"/>
    </row>
    <row r="64" spans="1:13">
      <c r="A64" s="236"/>
      <c r="B64" s="6" t="s">
        <v>598</v>
      </c>
    </row>
    <row r="65" spans="1:2">
      <c r="A65" s="326">
        <v>1</v>
      </c>
      <c r="B65" s="323" t="e">
        <f>"MIRU WL. PU and RIH with one 3-1/8” perf gun with 3 spf, min 0.5” EHD, 120° phasing.  Shoot 4' of squeeze holes at "&amp;Hesitation_Bot_Sq_Holes__ft&amp;"'.  RDMO WL."</f>
        <v>#REF!</v>
      </c>
    </row>
    <row r="66" spans="1:2">
      <c r="A66" s="326">
        <v>2</v>
      </c>
      <c r="B66" s="323" t="e">
        <f>"PU and TIH with ("&amp;Prod_csg__size_wt&amp;") CICR on "&amp;Tubing_OD__in&amp;" tbg. Set CICR at "&amp;Hesitation_CICR__ft&amp;"'.  Test injection rate with biocide treated fresh water.  Max pump pressure is "&amp;Hesitation_Circ_Max_P__psi&amp;" psi with fresh water at "&amp;Pump_Rate__bpm&amp;" bpm."</f>
        <v>#REF!</v>
      </c>
    </row>
    <row r="67" spans="1:2">
      <c r="A67" s="326">
        <v>3</v>
      </c>
      <c r="B67" s="323" t="e">
        <f>"RU Cementers.  Sting out of CICR, spot cement to EOT, sting into CICR.  Pump Hesitation Squeeze: "&amp;Hesitation_Cement_Vol__sx&amp;" sx ("&amp;ROUNDUP((Hesitation_Cement_Vol__sx*Hesitation_Sq_yld)/5.6146,1)&amp;" bbl or "&amp;ROUNDUP(Hesitation_Cement_Vol__sx*Hesitation_Sq_yld,0)&amp;" cf) Class G cement with 0.25 lb/sk polyflake, assuming "&amp;Hesitation_Sq_ppg&amp;" ppg &amp; "&amp;Hesitation_Sq_yld&amp;" cf/sk.  Max pump pressure is to be "&amp;Hesitation_Sq_Max_P__psi&amp;" psi at "&amp;Pump_Rate__bpm&amp;" bpm with the full "&amp;ROUNDUP((Hesitation_Cement_Vol__sx*Hesitation_Sq_yld)/5.6146,1)&amp;" bbl cement column.  Underdisplace by "&amp;Hesitation_Cmt_Above_CICR__bbls&amp;" bbl. Volume is based on "&amp;Hesitation_Bot_Sq_Holes__ft-Hesitation_CICR__ft&amp;"' below the CICR inside "&amp;Prod_csg__size_wt&amp;" production casing with no excess, "&amp;Hesitation_Bot_Sq_Holes__ft-Hesitation_TOC_outside_Casing__ft&amp;"' in the "&amp;Prod_csg__size_wt&amp;" annulus assuming "&amp;Prod_Hole_Size__in&amp;CHAR(34)&amp;" bit size with "&amp;Hesitation_OH_Excess_Factor&amp;"% excess and "&amp;Hesitation_CICR__ft-Hesitation_TOC_in_Casing__ft&amp;"' on top of the CICR.  If additional cement is pumped call engineering to determine new max pump pressure.  Collect wet and dry samples of cement to be left on rig.  RD Cementers."</f>
        <v>#REF!</v>
      </c>
    </row>
    <row r="68" spans="1:2">
      <c r="A68" s="326">
        <v>4</v>
      </c>
      <c r="B68" s="323" t="e">
        <f>"Pull out of cement at a rate of 1 jt/min.  TOOH to "&amp;Hesitation_TOC_in_Casing__ft-500&amp;"’.  Reverse circulate to ensure no cement is left in the tbg. "</f>
        <v>#REF!</v>
      </c>
    </row>
    <row r="69" spans="1:2">
      <c r="A69" s="326">
        <v>5</v>
      </c>
      <c r="B69" s="323" t="e">
        <f>"TOOH and SB "&amp;IF(BH_Cement_Vol__sx&lt;&gt;0,BH_CICR__ft,Stub_Plug_BOC__ft)&amp;"' of "&amp;Tubing_OD__in&amp;" tbg. LD stinger, and remaining tbg."</f>
        <v>#REF!</v>
      </c>
    </row>
    <row r="70" spans="1:2" ht="28.8">
      <c r="A70" s="326">
        <v>6</v>
      </c>
      <c r="B70" s="455" t="s">
        <v>599</v>
      </c>
    </row>
    <row r="71" spans="1:2">
      <c r="A71" s="236"/>
    </row>
    <row r="72" spans="1:2" s="9" customFormat="1">
      <c r="A72" s="236"/>
    </row>
    <row r="73" spans="1:2">
      <c r="A73" s="236"/>
    </row>
    <row r="74" spans="1:2">
      <c r="A74" s="236"/>
    </row>
    <row r="75" spans="1:2">
      <c r="A75" s="236"/>
    </row>
    <row r="76" spans="1:2">
      <c r="A76" s="236"/>
    </row>
    <row r="77" spans="1:2">
      <c r="A77" s="236"/>
    </row>
    <row r="78" spans="1:2">
      <c r="A78" s="236"/>
    </row>
    <row r="79" spans="1:2">
      <c r="A79" s="236"/>
    </row>
    <row r="80" spans="1:2">
      <c r="A80" s="236"/>
    </row>
    <row r="81" spans="1:1">
      <c r="A81" s="236"/>
    </row>
    <row r="82" spans="1:1">
      <c r="A82" s="236"/>
    </row>
    <row r="83" spans="1:1">
      <c r="A83" s="236"/>
    </row>
    <row r="84" spans="1:1">
      <c r="A84" s="236"/>
    </row>
    <row r="85" spans="1:1">
      <c r="A85" s="236"/>
    </row>
    <row r="86" spans="1:1">
      <c r="A86" s="236"/>
    </row>
    <row r="87" spans="1:1">
      <c r="A87" s="236"/>
    </row>
    <row r="88" spans="1:1">
      <c r="A88" s="236"/>
    </row>
    <row r="89" spans="1:1">
      <c r="A89" s="236"/>
    </row>
    <row r="90" spans="1:1">
      <c r="A90" s="236"/>
    </row>
    <row r="91" spans="1:1">
      <c r="A91" s="236"/>
    </row>
    <row r="92" spans="1:1">
      <c r="A92" s="236"/>
    </row>
    <row r="93" spans="1:1">
      <c r="A93" s="236"/>
    </row>
    <row r="94" spans="1:1">
      <c r="A94" s="236"/>
    </row>
  </sheetData>
  <conditionalFormatting sqref="B42">
    <cfRule type="expression" dxfId="1" priority="5">
      <formula>IF(Cut_Casing_Depth__ft=0,"TRUE","FALSE")</formula>
    </cfRule>
  </conditionalFormatting>
  <conditionalFormatting sqref="B47:B51">
    <cfRule type="expression" dxfId="0" priority="2">
      <formula>IF(Cut_Casing_Depth__ft=0,"TRUE","FALSE")</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theme="8" tint="-0.249977111117893"/>
    <pageSetUpPr fitToPage="1"/>
  </sheetPr>
  <dimension ref="A1:K20"/>
  <sheetViews>
    <sheetView workbookViewId="0">
      <selection activeCell="A69" sqref="A1:V69"/>
    </sheetView>
  </sheetViews>
  <sheetFormatPr defaultColWidth="9.109375" defaultRowHeight="14.4"/>
  <cols>
    <col min="1" max="11" width="12.6640625" style="198" customWidth="1"/>
    <col min="12" max="16384" width="9.109375" style="198"/>
  </cols>
  <sheetData>
    <row r="1" spans="1:11" s="194" customFormat="1" ht="30" customHeight="1">
      <c r="A1" s="191" t="s">
        <v>368</v>
      </c>
      <c r="B1" s="192" t="s">
        <v>369</v>
      </c>
      <c r="C1" s="192" t="s">
        <v>370</v>
      </c>
      <c r="D1" s="192" t="s">
        <v>371</v>
      </c>
      <c r="E1" s="192" t="s">
        <v>372</v>
      </c>
      <c r="F1" s="192" t="s">
        <v>373</v>
      </c>
      <c r="G1" s="192" t="s">
        <v>374</v>
      </c>
      <c r="H1" s="192" t="s">
        <v>375</v>
      </c>
      <c r="I1" s="192" t="s">
        <v>376</v>
      </c>
      <c r="J1" s="192" t="s">
        <v>377</v>
      </c>
      <c r="K1" s="193" t="s">
        <v>378</v>
      </c>
    </row>
    <row r="2" spans="1:11" ht="30" customHeight="1">
      <c r="A2" s="195" t="s">
        <v>369</v>
      </c>
      <c r="B2" s="196" t="s">
        <v>379</v>
      </c>
      <c r="C2" s="196">
        <v>50</v>
      </c>
      <c r="D2" s="196">
        <v>150</v>
      </c>
      <c r="E2" s="196">
        <v>15</v>
      </c>
      <c r="F2" s="196">
        <v>150</v>
      </c>
      <c r="G2" s="196">
        <v>25</v>
      </c>
      <c r="H2" s="196"/>
      <c r="I2" s="196" t="s">
        <v>380</v>
      </c>
      <c r="J2" s="196"/>
      <c r="K2" s="197">
        <v>20</v>
      </c>
    </row>
    <row r="3" spans="1:11" ht="30" customHeight="1">
      <c r="A3" s="195" t="s">
        <v>370</v>
      </c>
      <c r="B3" s="196">
        <v>50</v>
      </c>
      <c r="C3" s="196" t="s">
        <v>381</v>
      </c>
      <c r="D3" s="196">
        <v>50</v>
      </c>
      <c r="E3" s="196">
        <v>50</v>
      </c>
      <c r="F3" s="196" t="s">
        <v>382</v>
      </c>
      <c r="G3" s="196" t="s">
        <v>382</v>
      </c>
      <c r="H3" s="196"/>
      <c r="I3" s="196">
        <v>100</v>
      </c>
      <c r="J3" s="196">
        <v>25</v>
      </c>
      <c r="K3" s="197" t="s">
        <v>383</v>
      </c>
    </row>
    <row r="4" spans="1:11" ht="30" customHeight="1">
      <c r="A4" s="195" t="s">
        <v>371</v>
      </c>
      <c r="B4" s="196">
        <v>150</v>
      </c>
      <c r="C4" s="196">
        <v>50</v>
      </c>
      <c r="D4" s="196" t="s">
        <v>381</v>
      </c>
      <c r="E4" s="196">
        <v>100</v>
      </c>
      <c r="F4" s="196">
        <v>100</v>
      </c>
      <c r="G4" s="196" t="s">
        <v>384</v>
      </c>
      <c r="H4" s="196" t="s">
        <v>384</v>
      </c>
      <c r="I4" s="196">
        <v>150</v>
      </c>
      <c r="J4" s="196">
        <v>100</v>
      </c>
      <c r="K4" s="197" t="s">
        <v>383</v>
      </c>
    </row>
    <row r="5" spans="1:11" ht="30" customHeight="1">
      <c r="A5" s="195" t="s">
        <v>372</v>
      </c>
      <c r="B5" s="196">
        <v>150</v>
      </c>
      <c r="C5" s="196">
        <v>50</v>
      </c>
      <c r="D5" s="196">
        <v>100</v>
      </c>
      <c r="E5" s="196" t="s">
        <v>381</v>
      </c>
      <c r="F5" s="196">
        <v>75</v>
      </c>
      <c r="G5" s="196">
        <v>25</v>
      </c>
      <c r="H5" s="196"/>
      <c r="I5" s="196">
        <v>150</v>
      </c>
      <c r="J5" s="196">
        <v>25</v>
      </c>
      <c r="K5" s="197" t="s">
        <v>383</v>
      </c>
    </row>
    <row r="6" spans="1:11" ht="30" customHeight="1">
      <c r="A6" s="195" t="s">
        <v>373</v>
      </c>
      <c r="B6" s="196">
        <v>100</v>
      </c>
      <c r="C6" s="196" t="s">
        <v>382</v>
      </c>
      <c r="D6" s="196">
        <v>100</v>
      </c>
      <c r="E6" s="196">
        <v>75</v>
      </c>
      <c r="F6" s="196" t="s">
        <v>381</v>
      </c>
      <c r="G6" s="196"/>
      <c r="H6" s="196"/>
      <c r="I6" s="196">
        <v>100</v>
      </c>
      <c r="J6" s="196">
        <v>25</v>
      </c>
      <c r="K6" s="197" t="s">
        <v>383</v>
      </c>
    </row>
    <row r="7" spans="1:11" ht="30" customHeight="1">
      <c r="A7" s="195" t="s">
        <v>374</v>
      </c>
      <c r="B7" s="196">
        <v>25</v>
      </c>
      <c r="C7" s="196" t="s">
        <v>382</v>
      </c>
      <c r="D7" s="196" t="s">
        <v>384</v>
      </c>
      <c r="E7" s="196">
        <v>25</v>
      </c>
      <c r="F7" s="196"/>
      <c r="G7" s="196" t="s">
        <v>381</v>
      </c>
      <c r="H7" s="196"/>
      <c r="I7" s="196"/>
      <c r="J7" s="196"/>
      <c r="K7" s="197" t="s">
        <v>383</v>
      </c>
    </row>
    <row r="8" spans="1:11" ht="30" customHeight="1">
      <c r="A8" s="195" t="s">
        <v>375</v>
      </c>
      <c r="B8" s="196"/>
      <c r="C8" s="196"/>
      <c r="D8" s="196" t="s">
        <v>384</v>
      </c>
      <c r="E8" s="196"/>
      <c r="F8" s="196"/>
      <c r="G8" s="196"/>
      <c r="H8" s="196" t="s">
        <v>381</v>
      </c>
      <c r="I8" s="196"/>
      <c r="J8" s="196"/>
      <c r="K8" s="197" t="s">
        <v>383</v>
      </c>
    </row>
    <row r="9" spans="1:11" ht="30" customHeight="1">
      <c r="A9" s="195" t="s">
        <v>376</v>
      </c>
      <c r="B9" s="196" t="s">
        <v>380</v>
      </c>
      <c r="C9" s="196">
        <v>100</v>
      </c>
      <c r="D9" s="196">
        <v>150</v>
      </c>
      <c r="E9" s="196">
        <v>150</v>
      </c>
      <c r="F9" s="196">
        <v>100</v>
      </c>
      <c r="G9" s="196"/>
      <c r="H9" s="196"/>
      <c r="I9" s="196" t="s">
        <v>381</v>
      </c>
      <c r="J9" s="196" t="s">
        <v>385</v>
      </c>
      <c r="K9" s="197" t="s">
        <v>383</v>
      </c>
    </row>
    <row r="10" spans="1:11" ht="30" customHeight="1">
      <c r="A10" s="195" t="s">
        <v>377</v>
      </c>
      <c r="B10" s="196"/>
      <c r="C10" s="196">
        <v>25</v>
      </c>
      <c r="D10" s="196">
        <v>100</v>
      </c>
      <c r="E10" s="196">
        <v>25</v>
      </c>
      <c r="F10" s="196">
        <v>25</v>
      </c>
      <c r="G10" s="196"/>
      <c r="H10" s="196"/>
      <c r="I10" s="196" t="s">
        <v>385</v>
      </c>
      <c r="J10" s="196" t="s">
        <v>381</v>
      </c>
      <c r="K10" s="197"/>
    </row>
    <row r="11" spans="1:11" ht="30" customHeight="1" thickBot="1">
      <c r="A11" s="199" t="s">
        <v>378</v>
      </c>
      <c r="B11" s="200" t="s">
        <v>383</v>
      </c>
      <c r="C11" s="200" t="s">
        <v>383</v>
      </c>
      <c r="D11" s="200" t="s">
        <v>383</v>
      </c>
      <c r="E11" s="200" t="s">
        <v>383</v>
      </c>
      <c r="F11" s="200" t="s">
        <v>383</v>
      </c>
      <c r="G11" s="200" t="s">
        <v>383</v>
      </c>
      <c r="H11" s="200" t="s">
        <v>383</v>
      </c>
      <c r="I11" s="200" t="s">
        <v>383</v>
      </c>
      <c r="J11" s="200"/>
      <c r="K11" s="201" t="s">
        <v>381</v>
      </c>
    </row>
    <row r="12" spans="1:11" ht="30" customHeight="1">
      <c r="A12" s="202" t="s">
        <v>386</v>
      </c>
      <c r="B12" s="203">
        <v>1</v>
      </c>
      <c r="C12" s="719" t="s">
        <v>387</v>
      </c>
      <c r="D12" s="719"/>
      <c r="E12" s="719"/>
      <c r="F12" s="719"/>
      <c r="G12" s="719"/>
      <c r="H12" s="719"/>
      <c r="I12" s="719"/>
      <c r="J12" s="719"/>
      <c r="K12" s="719"/>
    </row>
    <row r="13" spans="1:11">
      <c r="B13" s="203">
        <v>2</v>
      </c>
      <c r="C13" s="719" t="s">
        <v>388</v>
      </c>
      <c r="D13" s="719"/>
      <c r="E13" s="719"/>
      <c r="F13" s="719"/>
      <c r="G13" s="719"/>
      <c r="H13" s="719"/>
      <c r="I13" s="719"/>
      <c r="J13" s="719"/>
      <c r="K13" s="719"/>
    </row>
    <row r="14" spans="1:11" ht="32.25" customHeight="1">
      <c r="B14" s="203">
        <v>3</v>
      </c>
      <c r="C14" s="719" t="s">
        <v>389</v>
      </c>
      <c r="D14" s="719"/>
      <c r="E14" s="719"/>
      <c r="F14" s="719"/>
      <c r="G14" s="719"/>
      <c r="H14" s="719"/>
      <c r="I14" s="719"/>
      <c r="J14" s="719"/>
      <c r="K14" s="719"/>
    </row>
    <row r="15" spans="1:11" ht="31.5" customHeight="1">
      <c r="B15" s="203">
        <v>4</v>
      </c>
      <c r="C15" s="719" t="s">
        <v>390</v>
      </c>
      <c r="D15" s="719"/>
      <c r="E15" s="719"/>
      <c r="F15" s="719"/>
      <c r="G15" s="719"/>
      <c r="H15" s="719"/>
      <c r="I15" s="719"/>
      <c r="J15" s="719"/>
      <c r="K15" s="719"/>
    </row>
    <row r="16" spans="1:11">
      <c r="B16" s="203">
        <v>5</v>
      </c>
      <c r="C16" s="719" t="s">
        <v>391</v>
      </c>
      <c r="D16" s="719"/>
      <c r="E16" s="719"/>
      <c r="F16" s="719"/>
      <c r="G16" s="719"/>
      <c r="H16" s="719"/>
      <c r="I16" s="719"/>
      <c r="J16" s="719"/>
      <c r="K16" s="719"/>
    </row>
    <row r="17" spans="1:11">
      <c r="B17" s="198">
        <v>6</v>
      </c>
      <c r="C17" s="719" t="s">
        <v>392</v>
      </c>
      <c r="D17" s="719"/>
      <c r="E17" s="719"/>
      <c r="F17" s="719"/>
      <c r="G17" s="719"/>
      <c r="H17" s="719"/>
      <c r="I17" s="719"/>
      <c r="J17" s="719"/>
      <c r="K17" s="719"/>
    </row>
    <row r="18" spans="1:11" ht="28.5" customHeight="1">
      <c r="B18" s="198">
        <v>7</v>
      </c>
      <c r="C18" s="719" t="s">
        <v>393</v>
      </c>
      <c r="D18" s="719"/>
      <c r="E18" s="719"/>
      <c r="F18" s="719"/>
      <c r="G18" s="719"/>
      <c r="H18" s="719"/>
      <c r="I18" s="719"/>
      <c r="J18" s="719"/>
      <c r="K18" s="719"/>
    </row>
    <row r="20" spans="1:11">
      <c r="A20" s="720" t="s">
        <v>394</v>
      </c>
      <c r="B20" s="720"/>
      <c r="C20" s="720"/>
      <c r="D20" s="720"/>
      <c r="E20" s="720"/>
      <c r="F20" s="720"/>
      <c r="G20" s="720"/>
      <c r="H20" s="720"/>
      <c r="I20" s="720"/>
      <c r="J20" s="720"/>
      <c r="K20" s="720"/>
    </row>
  </sheetData>
  <mergeCells count="8">
    <mergeCell ref="C18:K18"/>
    <mergeCell ref="A20:K20"/>
    <mergeCell ref="C12:K12"/>
    <mergeCell ref="C13:K13"/>
    <mergeCell ref="C14:K14"/>
    <mergeCell ref="C15:K15"/>
    <mergeCell ref="C16:K16"/>
    <mergeCell ref="C17:K17"/>
  </mergeCells>
  <pageMargins left="0.7" right="0.7" top="0.75" bottom="0.75" header="0.3" footer="0.3"/>
  <pageSetup scale="87"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8" tint="-0.249977111117893"/>
  </sheetPr>
  <dimension ref="A1:AB61"/>
  <sheetViews>
    <sheetView workbookViewId="0">
      <selection activeCell="A69" sqref="A1:V69"/>
    </sheetView>
  </sheetViews>
  <sheetFormatPr defaultColWidth="9.109375" defaultRowHeight="14.4"/>
  <cols>
    <col min="1" max="1" width="6" style="9" customWidth="1"/>
    <col min="2" max="2" width="15.6640625" style="9" customWidth="1"/>
    <col min="3" max="3" width="13.33203125" style="9" customWidth="1"/>
    <col min="4" max="4" width="6" style="9" customWidth="1"/>
    <col min="5" max="5" width="6.6640625" style="9" customWidth="1"/>
    <col min="6" max="6" width="9.33203125" style="9" customWidth="1"/>
    <col min="7" max="7" width="8.6640625" style="9" customWidth="1"/>
    <col min="8" max="8" width="4.44140625" style="9" customWidth="1"/>
    <col min="9" max="9" width="7.33203125" style="9" customWidth="1"/>
    <col min="10" max="10" width="6.33203125" style="9" customWidth="1"/>
    <col min="11" max="11" width="27.33203125" style="9" customWidth="1"/>
    <col min="12" max="12" width="9.109375" style="9" customWidth="1"/>
    <col min="13" max="13" width="7.6640625" style="9" customWidth="1"/>
    <col min="14" max="14" width="27.33203125" style="9" customWidth="1"/>
    <col min="15" max="15" width="9.109375" style="9" customWidth="1"/>
    <col min="16" max="16" width="4.5546875" style="9" customWidth="1"/>
    <col min="17" max="17" width="27.33203125" style="9" customWidth="1"/>
    <col min="18" max="18" width="9" style="9" customWidth="1"/>
    <col min="19" max="19" width="4.5546875" style="9" customWidth="1"/>
    <col min="20" max="20" width="14.33203125" style="9" customWidth="1"/>
    <col min="21" max="21" width="15.109375" style="9" customWidth="1"/>
    <col min="22" max="22" width="35.5546875" style="9" bestFit="1" customWidth="1"/>
    <col min="23" max="23" width="35.44140625" style="9" bestFit="1" customWidth="1"/>
    <col min="24" max="24" width="18.5546875" style="9" customWidth="1"/>
    <col min="25" max="25" width="7.6640625" style="9" bestFit="1" customWidth="1"/>
    <col min="26" max="26" width="5.44140625" style="9" bestFit="1" customWidth="1"/>
    <col min="27" max="27" width="14.5546875" style="9" bestFit="1" customWidth="1"/>
    <col min="28" max="28" width="19" style="9" customWidth="1"/>
    <col min="29" max="16384" width="9.109375" style="9"/>
  </cols>
  <sheetData>
    <row r="1" spans="1:28" ht="31.5" customHeight="1" thickBot="1">
      <c r="K1" s="755" t="s">
        <v>590</v>
      </c>
      <c r="L1" s="756"/>
      <c r="T1" s="240" t="s">
        <v>426</v>
      </c>
      <c r="U1" s="242" t="s">
        <v>427</v>
      </c>
      <c r="V1" s="241" t="s">
        <v>428</v>
      </c>
      <c r="W1" s="242" t="s">
        <v>429</v>
      </c>
      <c r="X1" s="242" t="s">
        <v>430</v>
      </c>
      <c r="Y1" s="241" t="s">
        <v>431</v>
      </c>
      <c r="Z1" s="241" t="s">
        <v>432</v>
      </c>
      <c r="AA1" s="243" t="s">
        <v>433</v>
      </c>
      <c r="AB1" s="244" t="s">
        <v>434</v>
      </c>
    </row>
    <row r="2" spans="1:28" ht="15" customHeight="1">
      <c r="B2" s="744" t="e">
        <f>WBD!#REF!</f>
        <v>#REF!</v>
      </c>
      <c r="C2" s="745"/>
      <c r="D2" s="745"/>
      <c r="E2" s="745"/>
      <c r="F2" s="745"/>
      <c r="G2" s="746"/>
      <c r="K2" s="41" t="s">
        <v>591</v>
      </c>
      <c r="L2" s="340" t="s">
        <v>547</v>
      </c>
      <c r="T2" s="790" t="s">
        <v>435</v>
      </c>
      <c r="U2" s="793" t="s">
        <v>436</v>
      </c>
      <c r="V2" s="245" t="s">
        <v>437</v>
      </c>
      <c r="W2" s="795" t="s">
        <v>438</v>
      </c>
      <c r="X2" s="795" t="s">
        <v>439</v>
      </c>
      <c r="Y2" s="299">
        <v>15.8</v>
      </c>
      <c r="Z2" s="301">
        <v>1.53</v>
      </c>
      <c r="AA2" s="246" t="s">
        <v>440</v>
      </c>
      <c r="AB2" s="247" t="s">
        <v>441</v>
      </c>
    </row>
    <row r="3" spans="1:28" ht="15" customHeight="1" thickBot="1">
      <c r="B3" s="747"/>
      <c r="C3" s="748"/>
      <c r="D3" s="748"/>
      <c r="E3" s="748"/>
      <c r="F3" s="748"/>
      <c r="G3" s="749"/>
      <c r="K3" s="213" t="s">
        <v>589</v>
      </c>
      <c r="L3" s="389">
        <v>2</v>
      </c>
      <c r="T3" s="791"/>
      <c r="U3" s="794"/>
      <c r="V3" s="248" t="s">
        <v>442</v>
      </c>
      <c r="W3" s="796" t="s">
        <v>438</v>
      </c>
      <c r="X3" s="796"/>
      <c r="Y3" s="300">
        <v>15.8</v>
      </c>
      <c r="Z3" s="302">
        <v>1.53</v>
      </c>
      <c r="AA3" s="249" t="s">
        <v>443</v>
      </c>
      <c r="AB3" s="250" t="s">
        <v>444</v>
      </c>
    </row>
    <row r="4" spans="1:28" ht="15" customHeight="1" thickBot="1">
      <c r="B4" s="36" t="s">
        <v>164</v>
      </c>
      <c r="C4" s="36"/>
      <c r="D4" s="750" t="e">
        <f>WBD!#REF!</f>
        <v>#REF!</v>
      </c>
      <c r="E4" s="751"/>
      <c r="F4" s="751"/>
      <c r="G4" s="752"/>
      <c r="H4" s="37"/>
      <c r="T4" s="791"/>
      <c r="U4" s="794"/>
      <c r="V4" s="248" t="s">
        <v>445</v>
      </c>
      <c r="W4" s="796" t="s">
        <v>438</v>
      </c>
      <c r="X4" s="796"/>
      <c r="Y4" s="300">
        <v>15.8</v>
      </c>
      <c r="Z4" s="251">
        <v>1.1499999999999999</v>
      </c>
      <c r="AA4" s="252" t="s">
        <v>446</v>
      </c>
      <c r="AB4" s="253" t="s">
        <v>447</v>
      </c>
    </row>
    <row r="5" spans="1:28" ht="15" customHeight="1" thickBot="1">
      <c r="B5" s="38" t="s">
        <v>165</v>
      </c>
      <c r="C5" s="38"/>
      <c r="D5" s="750" t="e">
        <f>WBD!#REF!</f>
        <v>#REF!</v>
      </c>
      <c r="E5" s="751"/>
      <c r="F5" s="751"/>
      <c r="G5" s="752"/>
      <c r="H5" s="39"/>
      <c r="I5" s="25"/>
      <c r="J5" s="40"/>
      <c r="K5" s="753" t="s">
        <v>166</v>
      </c>
      <c r="L5" s="754"/>
      <c r="M5" s="40"/>
      <c r="N5" s="753" t="s">
        <v>167</v>
      </c>
      <c r="O5" s="754"/>
      <c r="P5" s="40"/>
      <c r="T5" s="791"/>
      <c r="U5" s="774" t="s">
        <v>448</v>
      </c>
      <c r="V5" s="254" t="s">
        <v>449</v>
      </c>
      <c r="W5" s="255" t="s">
        <v>450</v>
      </c>
      <c r="X5" s="776" t="s">
        <v>439</v>
      </c>
      <c r="Y5" s="256">
        <v>15.8</v>
      </c>
      <c r="Z5" s="255">
        <v>1.53</v>
      </c>
      <c r="AA5" s="257" t="s">
        <v>440</v>
      </c>
      <c r="AB5" s="258" t="s">
        <v>441</v>
      </c>
    </row>
    <row r="6" spans="1:28" ht="15" customHeight="1">
      <c r="H6" s="39"/>
      <c r="I6" s="25"/>
      <c r="K6" s="41" t="s">
        <v>168</v>
      </c>
      <c r="L6" s="305">
        <v>4</v>
      </c>
      <c r="N6" s="41" t="s">
        <v>168</v>
      </c>
      <c r="O6" s="305">
        <v>4</v>
      </c>
      <c r="T6" s="791"/>
      <c r="U6" s="774"/>
      <c r="V6" s="254" t="s">
        <v>451</v>
      </c>
      <c r="W6" s="259" t="s">
        <v>451</v>
      </c>
      <c r="X6" s="777"/>
      <c r="Y6" s="256">
        <v>15.8</v>
      </c>
      <c r="Z6" s="255">
        <v>1.17</v>
      </c>
      <c r="AA6" s="257" t="s">
        <v>452</v>
      </c>
      <c r="AB6" s="258" t="s">
        <v>447</v>
      </c>
    </row>
    <row r="7" spans="1:28" ht="15" customHeight="1">
      <c r="A7" s="721" t="s">
        <v>171</v>
      </c>
      <c r="B7" s="722"/>
      <c r="C7" s="722"/>
      <c r="D7" s="722"/>
      <c r="E7" s="722"/>
      <c r="F7" s="722"/>
      <c r="G7" s="723"/>
      <c r="J7" s="42"/>
      <c r="K7" s="43" t="s">
        <v>170</v>
      </c>
      <c r="L7" s="63">
        <v>8.7266462599716474E-2</v>
      </c>
      <c r="N7" s="43" t="s">
        <v>170</v>
      </c>
      <c r="O7" s="63">
        <v>8.7266462599716474E-2</v>
      </c>
      <c r="T7" s="791"/>
      <c r="U7" s="774"/>
      <c r="V7" s="254" t="s">
        <v>453</v>
      </c>
      <c r="W7" s="255" t="s">
        <v>454</v>
      </c>
      <c r="X7" s="777"/>
      <c r="Y7" s="256">
        <v>14</v>
      </c>
      <c r="Z7" s="255">
        <v>1.55</v>
      </c>
      <c r="AA7" s="257" t="s">
        <v>452</v>
      </c>
      <c r="AB7" s="258" t="s">
        <v>447</v>
      </c>
    </row>
    <row r="8" spans="1:28" ht="15" customHeight="1">
      <c r="A8" s="736" t="s">
        <v>173</v>
      </c>
      <c r="B8" s="736" t="s">
        <v>174</v>
      </c>
      <c r="C8" s="736" t="s">
        <v>175</v>
      </c>
      <c r="D8" s="736" t="s">
        <v>176</v>
      </c>
      <c r="E8" s="737" t="s">
        <v>177</v>
      </c>
      <c r="F8" s="736" t="s">
        <v>178</v>
      </c>
      <c r="G8" s="736" t="s">
        <v>170</v>
      </c>
      <c r="J8" s="42"/>
      <c r="K8" s="43" t="s">
        <v>172</v>
      </c>
      <c r="L8" s="305" t="e">
        <f>WBD!#REF!-WBD!#REF!</f>
        <v>#REF!</v>
      </c>
      <c r="N8" s="43" t="s">
        <v>172</v>
      </c>
      <c r="O8" s="44">
        <v>400</v>
      </c>
      <c r="T8" s="791"/>
      <c r="U8" s="774"/>
      <c r="V8" s="254" t="s">
        <v>455</v>
      </c>
      <c r="W8" s="255" t="s">
        <v>456</v>
      </c>
      <c r="X8" s="778"/>
      <c r="Y8" s="256">
        <v>14.2</v>
      </c>
      <c r="Z8" s="260">
        <v>1.5</v>
      </c>
      <c r="AA8" s="257" t="s">
        <v>452</v>
      </c>
      <c r="AB8" s="258" t="s">
        <v>447</v>
      </c>
    </row>
    <row r="9" spans="1:28" ht="15" customHeight="1">
      <c r="A9" s="736"/>
      <c r="B9" s="736"/>
      <c r="C9" s="736"/>
      <c r="D9" s="736"/>
      <c r="E9" s="737"/>
      <c r="F9" s="736"/>
      <c r="G9" s="736"/>
      <c r="K9" s="43" t="s">
        <v>509</v>
      </c>
      <c r="L9" s="44">
        <v>15.8</v>
      </c>
      <c r="N9" s="43" t="s">
        <v>509</v>
      </c>
      <c r="O9" s="44">
        <v>15.8</v>
      </c>
      <c r="T9" s="792"/>
      <c r="U9" s="775"/>
      <c r="V9" s="261" t="s">
        <v>457</v>
      </c>
      <c r="W9" s="262" t="s">
        <v>511</v>
      </c>
      <c r="X9" s="262" t="s">
        <v>458</v>
      </c>
      <c r="Y9" s="255">
        <v>12</v>
      </c>
      <c r="Z9" s="263">
        <v>1.79</v>
      </c>
      <c r="AA9" s="264" t="s">
        <v>459</v>
      </c>
      <c r="AB9" s="265" t="s">
        <v>444</v>
      </c>
    </row>
    <row r="10" spans="1:28" ht="15" customHeight="1" thickBot="1">
      <c r="A10" s="45" t="s">
        <v>180</v>
      </c>
      <c r="B10" s="46">
        <v>9.625</v>
      </c>
      <c r="C10" s="47">
        <v>40</v>
      </c>
      <c r="D10" s="76">
        <v>9.625</v>
      </c>
      <c r="E10" s="79">
        <v>8.8350000000000009</v>
      </c>
      <c r="F10" s="77">
        <f>PI()*(((D10/24)^2)-((E10/24)^2))</f>
        <v>7.954010816729408E-2</v>
      </c>
      <c r="G10" s="48">
        <f>PI()*((E10/24)^2)</f>
        <v>0.42573611913125964</v>
      </c>
      <c r="K10" s="43" t="s">
        <v>179</v>
      </c>
      <c r="L10" s="44">
        <v>1.53</v>
      </c>
      <c r="N10" s="43" t="s">
        <v>179</v>
      </c>
      <c r="O10" s="44">
        <v>1.53</v>
      </c>
      <c r="T10" s="792"/>
      <c r="U10" s="775"/>
      <c r="V10" s="261" t="s">
        <v>460</v>
      </c>
      <c r="W10" s="266" t="s">
        <v>461</v>
      </c>
      <c r="X10" s="267" t="s">
        <v>462</v>
      </c>
      <c r="Y10" s="268">
        <v>14.8</v>
      </c>
      <c r="Z10" s="263">
        <v>1.39</v>
      </c>
      <c r="AA10" s="264" t="s">
        <v>463</v>
      </c>
      <c r="AB10" s="265" t="s">
        <v>447</v>
      </c>
    </row>
    <row r="11" spans="1:28" ht="15" customHeight="1">
      <c r="A11" s="45" t="s">
        <v>180</v>
      </c>
      <c r="B11" s="46">
        <v>9.625</v>
      </c>
      <c r="C11" s="47">
        <v>36</v>
      </c>
      <c r="D11" s="76">
        <v>9.625</v>
      </c>
      <c r="E11" s="79">
        <v>8.9209999999999994</v>
      </c>
      <c r="F11" s="77">
        <f t="shared" ref="F11:F30" si="0">PI()*(((D11/24)^2)-((E11/24)^2))</f>
        <v>7.1211527876471156E-2</v>
      </c>
      <c r="G11" s="48">
        <f t="shared" ref="G11:G30" si="1">PI()*((E11/24)^2)</f>
        <v>0.43406469942208259</v>
      </c>
      <c r="K11" s="43" t="s">
        <v>181</v>
      </c>
      <c r="L11" s="306" t="e">
        <f>L8*L7</f>
        <v>#REF!</v>
      </c>
      <c r="N11" s="43" t="s">
        <v>181</v>
      </c>
      <c r="O11" s="306">
        <f>O8*O7</f>
        <v>34.906585039886586</v>
      </c>
      <c r="T11" s="779" t="s">
        <v>464</v>
      </c>
      <c r="U11" s="782" t="s">
        <v>436</v>
      </c>
      <c r="V11" s="269" t="s">
        <v>465</v>
      </c>
      <c r="W11" s="270" t="s">
        <v>466</v>
      </c>
      <c r="X11" s="784" t="s">
        <v>439</v>
      </c>
      <c r="Y11" s="270">
        <v>15.8</v>
      </c>
      <c r="Z11" s="270">
        <v>1.52</v>
      </c>
      <c r="AA11" s="270" t="s">
        <v>467</v>
      </c>
      <c r="AB11" s="293" t="s">
        <v>468</v>
      </c>
    </row>
    <row r="12" spans="1:28" ht="15" customHeight="1">
      <c r="A12" s="45" t="s">
        <v>180</v>
      </c>
      <c r="B12" s="46">
        <v>8.625</v>
      </c>
      <c r="C12" s="47">
        <v>28</v>
      </c>
      <c r="D12" s="45">
        <v>8.625</v>
      </c>
      <c r="E12" s="79">
        <v>8.0169999999999995</v>
      </c>
      <c r="F12" s="77">
        <f t="shared" si="0"/>
        <v>5.5186961882210395E-2</v>
      </c>
      <c r="G12" s="48">
        <f t="shared" si="1"/>
        <v>0.35055095651354168</v>
      </c>
      <c r="K12" s="43" t="s">
        <v>182</v>
      </c>
      <c r="L12" s="307" t="e">
        <f>ROUND(L11/L10/5,0)*5</f>
        <v>#REF!</v>
      </c>
      <c r="N12" s="43" t="s">
        <v>182</v>
      </c>
      <c r="O12" s="307">
        <f>O11/O10</f>
        <v>22.814761463978162</v>
      </c>
      <c r="T12" s="780"/>
      <c r="U12" s="783"/>
      <c r="V12" s="271" t="s">
        <v>469</v>
      </c>
      <c r="W12" s="272" t="s">
        <v>470</v>
      </c>
      <c r="X12" s="785"/>
      <c r="Y12" s="272">
        <v>15.8</v>
      </c>
      <c r="Z12" s="272">
        <v>1.1499999999999999</v>
      </c>
      <c r="AA12" s="272" t="s">
        <v>471</v>
      </c>
      <c r="AB12" s="273" t="s">
        <v>472</v>
      </c>
    </row>
    <row r="13" spans="1:28" ht="15" customHeight="1">
      <c r="A13" s="45" t="s">
        <v>180</v>
      </c>
      <c r="B13" s="46">
        <v>8.625</v>
      </c>
      <c r="C13" s="47">
        <v>24</v>
      </c>
      <c r="D13" s="45">
        <v>8.625</v>
      </c>
      <c r="E13" s="79">
        <v>8.0969999999999995</v>
      </c>
      <c r="F13" s="77">
        <f t="shared" si="0"/>
        <v>4.8155902990551169E-2</v>
      </c>
      <c r="G13" s="48">
        <f t="shared" si="1"/>
        <v>0.3575820154052009</v>
      </c>
      <c r="K13" s="62" t="s">
        <v>184</v>
      </c>
      <c r="L13" s="44">
        <v>4800</v>
      </c>
      <c r="N13" s="62" t="s">
        <v>184</v>
      </c>
      <c r="O13" s="44">
        <v>4800</v>
      </c>
      <c r="T13" s="780"/>
      <c r="U13" s="786" t="s">
        <v>448</v>
      </c>
      <c r="V13" s="274" t="s">
        <v>473</v>
      </c>
      <c r="W13" s="275" t="s">
        <v>474</v>
      </c>
      <c r="X13" s="275" t="s">
        <v>439</v>
      </c>
      <c r="Y13" s="275">
        <v>13.5</v>
      </c>
      <c r="Z13" s="275">
        <v>1.66</v>
      </c>
      <c r="AA13" s="275" t="s">
        <v>467</v>
      </c>
      <c r="AB13" s="276" t="s">
        <v>468</v>
      </c>
    </row>
    <row r="14" spans="1:28" ht="15" customHeight="1">
      <c r="A14" s="45" t="s">
        <v>180</v>
      </c>
      <c r="B14" s="46">
        <v>7</v>
      </c>
      <c r="C14" s="47">
        <v>26</v>
      </c>
      <c r="D14" s="45">
        <v>7</v>
      </c>
      <c r="E14" s="79">
        <v>6.2759999999999998</v>
      </c>
      <c r="F14" s="77">
        <f t="shared" si="0"/>
        <v>5.2424367475691111E-2</v>
      </c>
      <c r="G14" s="48">
        <f t="shared" si="1"/>
        <v>0.21482917423594064</v>
      </c>
      <c r="J14" s="42"/>
      <c r="K14" s="43" t="s">
        <v>185</v>
      </c>
      <c r="L14" s="306" t="e">
        <f>(L13-L8)*D37/5.615</f>
        <v>#REF!</v>
      </c>
      <c r="N14" s="43" t="s">
        <v>185</v>
      </c>
      <c r="O14" s="306">
        <f>(O13-O8)*D37/5.615</f>
        <v>0</v>
      </c>
      <c r="T14" s="780"/>
      <c r="U14" s="786"/>
      <c r="V14" s="274" t="s">
        <v>475</v>
      </c>
      <c r="W14" s="275" t="s">
        <v>476</v>
      </c>
      <c r="X14" s="788" t="s">
        <v>475</v>
      </c>
      <c r="Y14" s="275">
        <v>14.6</v>
      </c>
      <c r="Z14" s="275">
        <v>1.38</v>
      </c>
      <c r="AA14" s="275" t="s">
        <v>477</v>
      </c>
      <c r="AB14" s="276" t="s">
        <v>478</v>
      </c>
    </row>
    <row r="15" spans="1:28" ht="15" customHeight="1" thickBot="1">
      <c r="A15" s="45" t="s">
        <v>180</v>
      </c>
      <c r="B15" s="46">
        <v>7</v>
      </c>
      <c r="C15" s="47">
        <v>23</v>
      </c>
      <c r="D15" s="45">
        <v>7</v>
      </c>
      <c r="E15" s="79">
        <v>6.3659999999999997</v>
      </c>
      <c r="F15" s="77">
        <f t="shared" si="0"/>
        <v>4.6218740237147046E-2</v>
      </c>
      <c r="G15" s="48">
        <f t="shared" si="1"/>
        <v>0.2210348014744847</v>
      </c>
      <c r="J15" s="42"/>
      <c r="K15" s="308" t="s">
        <v>66</v>
      </c>
      <c r="L15" s="214" t="e">
        <f>L13-L8</f>
        <v>#REF!</v>
      </c>
      <c r="N15" s="308" t="s">
        <v>66</v>
      </c>
      <c r="O15" s="214">
        <f>O13-O8</f>
        <v>4400</v>
      </c>
      <c r="T15" s="780"/>
      <c r="U15" s="786"/>
      <c r="V15" s="274" t="s">
        <v>479</v>
      </c>
      <c r="W15" s="275" t="s">
        <v>480</v>
      </c>
      <c r="X15" s="788"/>
      <c r="Y15" s="275">
        <v>14.6</v>
      </c>
      <c r="Z15" s="275">
        <v>1.38</v>
      </c>
      <c r="AA15" s="275" t="s">
        <v>481</v>
      </c>
      <c r="AB15" s="276" t="s">
        <v>478</v>
      </c>
    </row>
    <row r="16" spans="1:28" ht="15" customHeight="1">
      <c r="A16" s="45" t="s">
        <v>180</v>
      </c>
      <c r="B16" s="46">
        <v>7</v>
      </c>
      <c r="C16" s="47">
        <v>17</v>
      </c>
      <c r="D16" s="45">
        <v>7</v>
      </c>
      <c r="E16" s="79">
        <v>6.5380000000000003</v>
      </c>
      <c r="F16" s="77">
        <f t="shared" si="0"/>
        <v>3.411331107823954E-2</v>
      </c>
      <c r="G16" s="48">
        <f t="shared" si="1"/>
        <v>0.23314023063339223</v>
      </c>
      <c r="J16" s="42"/>
      <c r="L16" s="215" t="s">
        <v>421</v>
      </c>
      <c r="T16" s="780"/>
      <c r="U16" s="786"/>
      <c r="V16" s="274" t="s">
        <v>482</v>
      </c>
      <c r="W16" s="275" t="s">
        <v>483</v>
      </c>
      <c r="X16" s="272" t="s">
        <v>462</v>
      </c>
      <c r="Y16" s="275">
        <v>14.5</v>
      </c>
      <c r="Z16" s="275">
        <v>1.19</v>
      </c>
      <c r="AA16" s="275" t="s">
        <v>484</v>
      </c>
      <c r="AB16" s="276" t="s">
        <v>478</v>
      </c>
    </row>
    <row r="17" spans="1:28" ht="15" customHeight="1" thickBot="1">
      <c r="A17" s="49" t="s">
        <v>183</v>
      </c>
      <c r="B17" s="50">
        <v>5.5</v>
      </c>
      <c r="C17" s="51">
        <v>17</v>
      </c>
      <c r="D17" s="49">
        <v>5.5</v>
      </c>
      <c r="E17" s="80">
        <v>4.8920000000000003</v>
      </c>
      <c r="F17" s="52">
        <f t="shared" si="0"/>
        <v>3.4461177014777605E-2</v>
      </c>
      <c r="G17" s="53">
        <f t="shared" si="1"/>
        <v>0.13052697883781134</v>
      </c>
      <c r="J17" s="42"/>
      <c r="T17" s="780"/>
      <c r="U17" s="786"/>
      <c r="V17" s="274" t="s">
        <v>485</v>
      </c>
      <c r="W17" s="275" t="s">
        <v>486</v>
      </c>
      <c r="X17" s="788" t="s">
        <v>475</v>
      </c>
      <c r="Y17" s="275">
        <v>12</v>
      </c>
      <c r="Z17" s="275">
        <v>1.99</v>
      </c>
      <c r="AA17" s="275" t="s">
        <v>487</v>
      </c>
      <c r="AB17" s="276" t="s">
        <v>488</v>
      </c>
    </row>
    <row r="18" spans="1:28" ht="15" customHeight="1" thickBot="1">
      <c r="A18" s="49" t="s">
        <v>183</v>
      </c>
      <c r="B18" s="50">
        <v>5.5</v>
      </c>
      <c r="C18" s="51">
        <v>15.5</v>
      </c>
      <c r="D18" s="49">
        <v>5.5</v>
      </c>
      <c r="E18" s="80">
        <v>4.95</v>
      </c>
      <c r="F18" s="52">
        <f t="shared" si="0"/>
        <v>3.1347749611991854E-2</v>
      </c>
      <c r="G18" s="53">
        <f t="shared" si="1"/>
        <v>0.13364040624059709</v>
      </c>
      <c r="K18" s="724" t="s">
        <v>186</v>
      </c>
      <c r="L18" s="725"/>
      <c r="M18" s="726"/>
      <c r="N18" s="757" t="s">
        <v>187</v>
      </c>
      <c r="O18" s="758"/>
      <c r="T18" s="781"/>
      <c r="U18" s="787"/>
      <c r="V18" s="277" t="s">
        <v>489</v>
      </c>
      <c r="W18" s="278" t="s">
        <v>486</v>
      </c>
      <c r="X18" s="789"/>
      <c r="Y18" s="279">
        <v>12.5</v>
      </c>
      <c r="Z18" s="279">
        <v>1.75</v>
      </c>
      <c r="AA18" s="279" t="s">
        <v>487</v>
      </c>
      <c r="AB18" s="294" t="s">
        <v>488</v>
      </c>
    </row>
    <row r="19" spans="1:28" ht="15" customHeight="1">
      <c r="A19" s="49" t="s">
        <v>183</v>
      </c>
      <c r="B19" s="50">
        <v>4.5</v>
      </c>
      <c r="C19" s="51">
        <v>10.5</v>
      </c>
      <c r="D19" s="49">
        <v>4.5</v>
      </c>
      <c r="E19" s="80">
        <v>4.0519999999999996</v>
      </c>
      <c r="F19" s="52">
        <f t="shared" si="0"/>
        <v>2.0896478068277734E-2</v>
      </c>
      <c r="G19" s="53">
        <f t="shared" si="1"/>
        <v>8.9550138659488437E-2</v>
      </c>
      <c r="K19" s="54" t="s">
        <v>188</v>
      </c>
      <c r="L19" s="311">
        <v>4</v>
      </c>
      <c r="M19" s="759" t="s">
        <v>189</v>
      </c>
      <c r="N19" s="309" t="s">
        <v>190</v>
      </c>
      <c r="O19" s="55" t="e">
        <f>((L34-L22)+(L31*L29))/5.615</f>
        <v>#REF!</v>
      </c>
      <c r="T19" s="767" t="s">
        <v>490</v>
      </c>
      <c r="U19" s="292" t="s">
        <v>436</v>
      </c>
      <c r="V19" s="281" t="s">
        <v>491</v>
      </c>
      <c r="W19" s="281" t="s">
        <v>492</v>
      </c>
      <c r="X19" s="282" t="s">
        <v>439</v>
      </c>
      <c r="Y19" s="280">
        <v>15.8</v>
      </c>
      <c r="Z19" s="280">
        <v>1.51</v>
      </c>
      <c r="AA19" s="282" t="s">
        <v>493</v>
      </c>
      <c r="AB19" s="295" t="s">
        <v>493</v>
      </c>
    </row>
    <row r="20" spans="1:28" ht="15" customHeight="1" thickBot="1">
      <c r="A20" s="49" t="s">
        <v>183</v>
      </c>
      <c r="B20" s="50">
        <v>4.5</v>
      </c>
      <c r="C20" s="51">
        <v>11.6</v>
      </c>
      <c r="D20" s="49">
        <v>4.5</v>
      </c>
      <c r="E20" s="80">
        <v>4</v>
      </c>
      <c r="F20" s="52">
        <f t="shared" si="0"/>
        <v>2.3180154128049694E-2</v>
      </c>
      <c r="G20" s="53">
        <f t="shared" si="1"/>
        <v>8.7266462599716474E-2</v>
      </c>
      <c r="K20" s="43" t="s">
        <v>191</v>
      </c>
      <c r="L20" s="343">
        <v>8.7266462599716474E-2</v>
      </c>
      <c r="M20" s="760"/>
      <c r="N20" s="310" t="s">
        <v>192</v>
      </c>
      <c r="O20" s="56" t="e">
        <f>(((L31*L29)+L34)/5.615)*2</f>
        <v>#REF!</v>
      </c>
      <c r="T20" s="768"/>
      <c r="U20" s="771" t="s">
        <v>448</v>
      </c>
      <c r="V20" s="283" t="s">
        <v>491</v>
      </c>
      <c r="W20" s="283" t="s">
        <v>494</v>
      </c>
      <c r="X20" s="284" t="s">
        <v>475</v>
      </c>
      <c r="Y20" s="284">
        <v>14</v>
      </c>
      <c r="Z20" s="284">
        <v>1.52</v>
      </c>
      <c r="AA20" s="72" t="s">
        <v>495</v>
      </c>
      <c r="AB20" s="296" t="s">
        <v>478</v>
      </c>
    </row>
    <row r="21" spans="1:28" ht="15" customHeight="1">
      <c r="A21" s="49" t="s">
        <v>183</v>
      </c>
      <c r="B21" s="50">
        <v>4.5</v>
      </c>
      <c r="C21" s="51">
        <v>12.6</v>
      </c>
      <c r="D21" s="49">
        <v>4.5</v>
      </c>
      <c r="E21" s="80">
        <v>3.9580000000000002</v>
      </c>
      <c r="F21" s="52">
        <f t="shared" si="0"/>
        <v>2.5003128715142101E-2</v>
      </c>
      <c r="G21" s="53">
        <f t="shared" si="1"/>
        <v>8.5443488012624066E-2</v>
      </c>
      <c r="J21" s="60"/>
      <c r="K21" s="43" t="s">
        <v>194</v>
      </c>
      <c r="L21" s="344" t="e">
        <f>IF(WBD!#REF!&lt;&gt;0,WBD!#REF!-WBD!#REF!,WBD!#REF!-WBD!#REF!)</f>
        <v>#REF!</v>
      </c>
      <c r="M21" s="760"/>
      <c r="N21" s="60"/>
      <c r="O21" s="60"/>
      <c r="P21" s="60"/>
      <c r="T21" s="769"/>
      <c r="U21" s="772"/>
      <c r="V21" s="283" t="s">
        <v>496</v>
      </c>
      <c r="W21" s="283" t="s">
        <v>497</v>
      </c>
      <c r="X21" s="284" t="s">
        <v>475</v>
      </c>
      <c r="Y21" s="284">
        <v>14</v>
      </c>
      <c r="Z21" s="284">
        <v>1.52</v>
      </c>
      <c r="AA21" s="72" t="s">
        <v>495</v>
      </c>
      <c r="AB21" s="297" t="s">
        <v>478</v>
      </c>
    </row>
    <row r="22" spans="1:28" ht="15" customHeight="1" thickBot="1">
      <c r="A22" s="49" t="s">
        <v>183</v>
      </c>
      <c r="B22" s="50">
        <v>3.5</v>
      </c>
      <c r="C22" s="51">
        <v>12.95</v>
      </c>
      <c r="D22" s="49">
        <v>3.5</v>
      </c>
      <c r="E22" s="80">
        <v>2.75</v>
      </c>
      <c r="F22" s="52">
        <f t="shared" si="0"/>
        <v>2.5566346464760706E-2</v>
      </c>
      <c r="G22" s="53">
        <f t="shared" si="1"/>
        <v>4.1247038963147235E-2</v>
      </c>
      <c r="J22" s="13"/>
      <c r="K22" s="312" t="s">
        <v>195</v>
      </c>
      <c r="L22" s="345" t="e">
        <f>L20*L21</f>
        <v>#REF!</v>
      </c>
      <c r="M22" s="761"/>
      <c r="T22" s="769"/>
      <c r="U22" s="772"/>
      <c r="V22" s="285" t="s">
        <v>498</v>
      </c>
      <c r="W22" s="285" t="s">
        <v>499</v>
      </c>
      <c r="X22" s="286" t="s">
        <v>475</v>
      </c>
      <c r="Y22" s="286">
        <v>12</v>
      </c>
      <c r="Z22" s="286">
        <v>2.17</v>
      </c>
      <c r="AA22" s="72" t="s">
        <v>500</v>
      </c>
      <c r="AB22" s="297" t="s">
        <v>501</v>
      </c>
    </row>
    <row r="23" spans="1:28" ht="15" customHeight="1" thickBot="1">
      <c r="A23" s="49" t="s">
        <v>183</v>
      </c>
      <c r="B23" s="50">
        <v>3.5</v>
      </c>
      <c r="C23" s="51">
        <v>9.3000000000000007</v>
      </c>
      <c r="D23" s="49">
        <v>3.5</v>
      </c>
      <c r="E23" s="80">
        <v>2.992</v>
      </c>
      <c r="F23" s="52">
        <f t="shared" si="0"/>
        <v>1.7987450537516179E-2</v>
      </c>
      <c r="G23" s="53">
        <f t="shared" si="1"/>
        <v>4.8825934890391762E-2</v>
      </c>
      <c r="J23" s="13"/>
      <c r="K23" s="54" t="s">
        <v>169</v>
      </c>
      <c r="L23" s="315">
        <v>7.88</v>
      </c>
      <c r="M23" s="759" t="s">
        <v>196</v>
      </c>
      <c r="N23" s="734" t="s">
        <v>516</v>
      </c>
      <c r="O23" s="735"/>
      <c r="T23" s="770"/>
      <c r="U23" s="773"/>
      <c r="V23" s="287" t="s">
        <v>502</v>
      </c>
      <c r="W23" s="287" t="s">
        <v>503</v>
      </c>
      <c r="X23" s="288" t="s">
        <v>475</v>
      </c>
      <c r="Y23" s="288">
        <v>12</v>
      </c>
      <c r="Z23" s="288">
        <v>2.17</v>
      </c>
      <c r="AA23" s="289" t="s">
        <v>500</v>
      </c>
      <c r="AB23" s="298" t="s">
        <v>501</v>
      </c>
    </row>
    <row r="24" spans="1:28" ht="15" customHeight="1">
      <c r="A24" s="49" t="s">
        <v>183</v>
      </c>
      <c r="B24" s="50">
        <v>3.5</v>
      </c>
      <c r="C24" s="51">
        <v>7.7</v>
      </c>
      <c r="D24" s="49">
        <v>3.5</v>
      </c>
      <c r="E24" s="80">
        <v>3.0680000000000001</v>
      </c>
      <c r="F24" s="52">
        <f t="shared" si="0"/>
        <v>1.5475485411583343E-2</v>
      </c>
      <c r="G24" s="53">
        <f t="shared" si="1"/>
        <v>5.13379000163246E-2</v>
      </c>
      <c r="J24" s="13"/>
      <c r="K24" s="43" t="s">
        <v>197</v>
      </c>
      <c r="L24" s="303" t="e">
        <f>IF(WBD!#REF!-WBD!#REF!&gt;0,WBD!#REF!-WBD!#REF!,0)</f>
        <v>#REF!</v>
      </c>
      <c r="M24" s="760"/>
      <c r="N24" s="43" t="s">
        <v>513</v>
      </c>
      <c r="O24" s="340">
        <v>50</v>
      </c>
    </row>
    <row r="25" spans="1:28" ht="15" customHeight="1">
      <c r="A25" s="49" t="s">
        <v>183</v>
      </c>
      <c r="B25" s="50">
        <v>2.875</v>
      </c>
      <c r="C25" s="51">
        <v>8.6999999999999993</v>
      </c>
      <c r="D25" s="49">
        <v>2.875</v>
      </c>
      <c r="E25" s="80">
        <v>2.2589999999999999</v>
      </c>
      <c r="F25" s="52">
        <f t="shared" si="0"/>
        <v>1.7249001730997367E-2</v>
      </c>
      <c r="G25" s="53">
        <f t="shared" si="1"/>
        <v>2.7832989201863983E-2</v>
      </c>
      <c r="J25" s="13"/>
      <c r="K25" s="43" t="s">
        <v>198</v>
      </c>
      <c r="L25" s="304" t="e">
        <f>PI()*(L23^2)/4/144*(1+(0.01*L26))</f>
        <v>#REF!</v>
      </c>
      <c r="M25" s="760"/>
      <c r="N25" s="313" t="s">
        <v>514</v>
      </c>
      <c r="O25" s="341">
        <f>O24*L20</f>
        <v>4.3633231299858233</v>
      </c>
    </row>
    <row r="26" spans="1:28" ht="15" customHeight="1" thickBot="1">
      <c r="A26" s="49" t="s">
        <v>183</v>
      </c>
      <c r="B26" s="50">
        <v>2.875</v>
      </c>
      <c r="C26" s="51">
        <v>7.9</v>
      </c>
      <c r="D26" s="49">
        <v>2.875</v>
      </c>
      <c r="E26" s="80">
        <v>2.323</v>
      </c>
      <c r="F26" s="52">
        <f t="shared" si="0"/>
        <v>1.564958200446976E-2</v>
      </c>
      <c r="G26" s="53">
        <f t="shared" si="1"/>
        <v>2.9432408928391586E-2</v>
      </c>
      <c r="J26" s="61"/>
      <c r="K26" s="43" t="s">
        <v>199</v>
      </c>
      <c r="L26" s="319" t="e">
        <f>OH_Excess_Factor</f>
        <v>#REF!</v>
      </c>
      <c r="M26" s="760"/>
      <c r="N26" s="312" t="s">
        <v>182</v>
      </c>
      <c r="O26" s="342">
        <f>ROUNDUP(O25/Z4,0)</f>
        <v>4</v>
      </c>
      <c r="U26" s="198"/>
      <c r="AB26" s="290" t="s">
        <v>504</v>
      </c>
    </row>
    <row r="27" spans="1:28" ht="15" customHeight="1" thickBot="1">
      <c r="A27" s="49" t="s">
        <v>183</v>
      </c>
      <c r="B27" s="50">
        <v>2.875</v>
      </c>
      <c r="C27" s="51">
        <v>6.5</v>
      </c>
      <c r="D27" s="49">
        <v>2.875</v>
      </c>
      <c r="E27" s="80">
        <v>2.4409999999999998</v>
      </c>
      <c r="F27" s="52">
        <f t="shared" si="0"/>
        <v>1.2583518474260027E-2</v>
      </c>
      <c r="G27" s="53">
        <f t="shared" si="1"/>
        <v>3.2498472458601324E-2</v>
      </c>
      <c r="J27" s="61"/>
      <c r="K27" s="313" t="s">
        <v>200</v>
      </c>
      <c r="L27" s="314" t="e">
        <f>L25*L24</f>
        <v>#REF!</v>
      </c>
      <c r="M27" s="762"/>
      <c r="O27" s="215" t="s">
        <v>515</v>
      </c>
      <c r="T27" s="9" t="s">
        <v>505</v>
      </c>
      <c r="U27" s="198"/>
      <c r="AB27" s="215" t="s">
        <v>506</v>
      </c>
    </row>
    <row r="28" spans="1:28" ht="15" customHeight="1">
      <c r="A28" s="23" t="s">
        <v>193</v>
      </c>
      <c r="B28" s="58">
        <v>2.375</v>
      </c>
      <c r="C28" s="59">
        <v>4.7</v>
      </c>
      <c r="D28" s="23">
        <v>2.375</v>
      </c>
      <c r="E28" s="81">
        <v>1.9950000000000001</v>
      </c>
      <c r="F28" s="78">
        <f t="shared" si="0"/>
        <v>9.0571679870680693E-3</v>
      </c>
      <c r="G28" s="82">
        <f t="shared" si="1"/>
        <v>2.1707668925527286E-2</v>
      </c>
      <c r="J28" s="13"/>
      <c r="K28" s="54" t="s">
        <v>201</v>
      </c>
      <c r="L28" s="315">
        <v>8.0969999999999995</v>
      </c>
      <c r="M28" s="759" t="s">
        <v>65</v>
      </c>
      <c r="T28" s="291">
        <v>43319</v>
      </c>
      <c r="U28" s="198"/>
      <c r="AB28" s="215" t="s">
        <v>507</v>
      </c>
    </row>
    <row r="29" spans="1:28" ht="15" customHeight="1">
      <c r="A29" s="23" t="s">
        <v>193</v>
      </c>
      <c r="B29" s="58">
        <v>2.0625</v>
      </c>
      <c r="C29" s="59">
        <v>3.25</v>
      </c>
      <c r="D29" s="23">
        <v>2.0630000000000002</v>
      </c>
      <c r="E29" s="81">
        <v>1.7509999999999999</v>
      </c>
      <c r="F29" s="78">
        <f t="shared" si="0"/>
        <v>6.4902686229287212E-3</v>
      </c>
      <c r="G29" s="82">
        <f t="shared" si="1"/>
        <v>1.672244134982458E-2</v>
      </c>
      <c r="J29" s="61"/>
      <c r="K29" s="62" t="s">
        <v>202</v>
      </c>
      <c r="L29" s="304">
        <v>0.3575820154052009</v>
      </c>
      <c r="M29" s="760"/>
      <c r="U29" s="198"/>
      <c r="AB29" s="215"/>
    </row>
    <row r="30" spans="1:28" ht="15" customHeight="1" thickBot="1">
      <c r="A30" s="23" t="s">
        <v>193</v>
      </c>
      <c r="B30" s="71">
        <v>1.66</v>
      </c>
      <c r="C30" s="72">
        <v>2.2999999999999998</v>
      </c>
      <c r="D30" s="23">
        <v>1.66</v>
      </c>
      <c r="E30" s="81">
        <v>1.38</v>
      </c>
      <c r="F30" s="78">
        <f t="shared" si="0"/>
        <v>4.6425758103049181E-3</v>
      </c>
      <c r="G30" s="82">
        <f t="shared" si="1"/>
        <v>1.0386890710931251E-2</v>
      </c>
      <c r="J30" s="42"/>
      <c r="K30" s="43" t="s">
        <v>203</v>
      </c>
      <c r="L30" s="316" t="e">
        <f>IF(WBD!#REF!&lt;WBD!#REF!,WBD!#REF!,WBD!#REF!)</f>
        <v>#REF!</v>
      </c>
      <c r="M30" s="760"/>
    </row>
    <row r="31" spans="1:28" ht="15" customHeight="1" thickBot="1">
      <c r="B31" s="57"/>
      <c r="C31" s="57"/>
      <c r="D31" s="33"/>
      <c r="K31" s="43" t="s">
        <v>204</v>
      </c>
      <c r="L31" s="303" t="e">
        <f>IF(WBD!#REF!&lt;&gt;0,WBD!#REF!,0)</f>
        <v>#REF!</v>
      </c>
      <c r="M31" s="760"/>
      <c r="N31" s="734" t="s">
        <v>517</v>
      </c>
      <c r="O31" s="735"/>
    </row>
    <row r="32" spans="1:28" ht="15" customHeight="1">
      <c r="B32" s="57"/>
      <c r="C32" s="57"/>
      <c r="D32" s="33"/>
      <c r="K32" s="43" t="s">
        <v>332</v>
      </c>
      <c r="L32" s="303" t="e">
        <f>IF(L30-L31&gt;0,L30-L31,0)</f>
        <v>#REF!</v>
      </c>
      <c r="M32" s="760"/>
      <c r="N32" s="54" t="s">
        <v>169</v>
      </c>
      <c r="O32" s="315">
        <f>$L$23</f>
        <v>7.88</v>
      </c>
    </row>
    <row r="33" spans="2:18" ht="15" customHeight="1" thickBot="1">
      <c r="B33" s="57"/>
      <c r="C33" s="57"/>
      <c r="D33" s="33"/>
      <c r="K33" s="313" t="s">
        <v>205</v>
      </c>
      <c r="L33" s="314" t="e">
        <f>L29*L32</f>
        <v>#REF!</v>
      </c>
      <c r="M33" s="762"/>
      <c r="N33" s="43" t="s">
        <v>518</v>
      </c>
      <c r="O33" s="303" t="e">
        <f>WBD!#REF!</f>
        <v>#REF!</v>
      </c>
    </row>
    <row r="34" spans="2:18" ht="15" customHeight="1">
      <c r="B34" s="57"/>
      <c r="C34" s="57"/>
      <c r="D34" s="33"/>
      <c r="E34" s="33"/>
      <c r="F34" s="33"/>
      <c r="G34" s="33"/>
      <c r="K34" s="54" t="s">
        <v>206</v>
      </c>
      <c r="L34" s="317" t="e">
        <f>L33+L27+L22</f>
        <v>#REF!</v>
      </c>
      <c r="M34" s="731" t="s">
        <v>207</v>
      </c>
      <c r="N34" s="43" t="s">
        <v>198</v>
      </c>
      <c r="O34" s="304" t="e">
        <f>PI()*(O32^2)/4/144*(1+(0.01*O35))</f>
        <v>#REF!</v>
      </c>
    </row>
    <row r="35" spans="2:18" ht="15" customHeight="1">
      <c r="B35" s="57"/>
      <c r="C35" s="57"/>
      <c r="D35" s="33"/>
      <c r="J35" s="215" t="s">
        <v>510</v>
      </c>
      <c r="K35" s="43" t="s">
        <v>509</v>
      </c>
      <c r="L35" s="184">
        <v>14</v>
      </c>
      <c r="M35" s="732"/>
      <c r="N35" s="43" t="s">
        <v>199</v>
      </c>
      <c r="O35" s="319" t="e">
        <f>OH_Excess_Factor</f>
        <v>#REF!</v>
      </c>
    </row>
    <row r="36" spans="2:18" ht="15" customHeight="1">
      <c r="B36" s="57"/>
      <c r="C36" s="57"/>
      <c r="D36" s="33"/>
      <c r="J36" s="215" t="s">
        <v>508</v>
      </c>
      <c r="K36" s="43" t="s">
        <v>179</v>
      </c>
      <c r="L36" s="184">
        <v>1.55</v>
      </c>
      <c r="M36" s="732"/>
      <c r="N36" s="313" t="s">
        <v>200</v>
      </c>
      <c r="O36" s="314" t="e">
        <f>O34*O33</f>
        <v>#REF!</v>
      </c>
    </row>
    <row r="37" spans="2:18" ht="15" customHeight="1" thickBot="1">
      <c r="B37" s="57"/>
      <c r="C37" s="57"/>
      <c r="D37" s="33"/>
      <c r="K37" s="312" t="s">
        <v>182</v>
      </c>
      <c r="L37" s="318" t="e">
        <f>ROUNDUP($L$34/$L$36,-1)</f>
        <v>#REF!</v>
      </c>
      <c r="M37" s="733"/>
      <c r="N37" s="312" t="s">
        <v>182</v>
      </c>
      <c r="O37" s="318" t="e">
        <f>ROUNDUP($O$36/$L$36,-1)</f>
        <v>#REF!</v>
      </c>
    </row>
    <row r="38" spans="2:18" ht="15" customHeight="1">
      <c r="B38" s="33"/>
      <c r="C38" s="33"/>
      <c r="D38" s="33"/>
      <c r="L38" s="215" t="s">
        <v>422</v>
      </c>
      <c r="O38" s="215" t="s">
        <v>422</v>
      </c>
    </row>
    <row r="39" spans="2:18" ht="15" customHeight="1" thickBot="1">
      <c r="B39" s="33"/>
      <c r="C39" s="33"/>
      <c r="D39" s="33"/>
    </row>
    <row r="40" spans="2:18" ht="15" customHeight="1">
      <c r="C40" s="190"/>
      <c r="D40" s="190"/>
      <c r="E40" s="738" t="s">
        <v>594</v>
      </c>
      <c r="F40" s="739"/>
      <c r="G40" s="739"/>
      <c r="H40" s="739"/>
      <c r="I40" s="740"/>
      <c r="J40" s="66"/>
      <c r="K40" s="763" t="s">
        <v>415</v>
      </c>
      <c r="L40" s="764"/>
      <c r="M40" s="66"/>
      <c r="N40" s="727" t="s">
        <v>417</v>
      </c>
      <c r="O40" s="728"/>
      <c r="P40" s="66"/>
      <c r="Q40" s="727" t="s">
        <v>416</v>
      </c>
      <c r="R40" s="728"/>
    </row>
    <row r="41" spans="2:18" ht="15" thickBot="1">
      <c r="C41" s="190"/>
      <c r="D41" s="454"/>
      <c r="E41" s="741"/>
      <c r="F41" s="742"/>
      <c r="G41" s="742"/>
      <c r="H41" s="742"/>
      <c r="I41" s="743"/>
      <c r="J41" s="65"/>
      <c r="K41" s="765"/>
      <c r="L41" s="766"/>
      <c r="M41" s="67"/>
      <c r="N41" s="729"/>
      <c r="O41" s="730"/>
      <c r="P41" s="67"/>
      <c r="Q41" s="729"/>
      <c r="R41" s="730"/>
    </row>
    <row r="42" spans="2:18">
      <c r="E42" s="797" t="s">
        <v>404</v>
      </c>
      <c r="F42" s="798"/>
      <c r="G42" s="798"/>
      <c r="H42" s="798"/>
      <c r="I42" s="395" t="e">
        <f>Prod._Csg._Size</f>
        <v>#REF!</v>
      </c>
      <c r="J42" s="67"/>
      <c r="K42" s="391" t="s">
        <v>404</v>
      </c>
      <c r="L42" s="210" t="e">
        <f>Prod._Csg._Size</f>
        <v>#REF!</v>
      </c>
      <c r="M42" s="67"/>
      <c r="N42" s="391" t="s">
        <v>404</v>
      </c>
      <c r="O42" s="210" t="e">
        <f>Prod._Csg._Size</f>
        <v>#REF!</v>
      </c>
      <c r="P42" s="67"/>
      <c r="Q42" s="391" t="s">
        <v>404</v>
      </c>
      <c r="R42" s="210" t="e">
        <f>Prod._Csg._Size</f>
        <v>#REF!</v>
      </c>
    </row>
    <row r="43" spans="2:18">
      <c r="E43" s="799" t="s">
        <v>405</v>
      </c>
      <c r="F43" s="800"/>
      <c r="G43" s="800"/>
      <c r="H43" s="800"/>
      <c r="I43" s="397">
        <f>$L$19</f>
        <v>4</v>
      </c>
      <c r="J43" s="68"/>
      <c r="K43" s="62" t="s">
        <v>405</v>
      </c>
      <c r="L43" s="206">
        <f>$L$19</f>
        <v>4</v>
      </c>
      <c r="M43" s="69"/>
      <c r="N43" s="62" t="s">
        <v>405</v>
      </c>
      <c r="O43" s="206">
        <f>$L$19</f>
        <v>4</v>
      </c>
      <c r="P43" s="70"/>
      <c r="Q43" s="62" t="s">
        <v>405</v>
      </c>
      <c r="R43" s="206">
        <f>$L$19</f>
        <v>4</v>
      </c>
    </row>
    <row r="44" spans="2:18">
      <c r="E44" s="801" t="s">
        <v>406</v>
      </c>
      <c r="F44" s="802"/>
      <c r="G44" s="802"/>
      <c r="H44" s="802"/>
      <c r="I44" s="398">
        <f>$L$20</f>
        <v>8.7266462599716474E-2</v>
      </c>
      <c r="J44" s="67"/>
      <c r="K44" s="43" t="s">
        <v>406</v>
      </c>
      <c r="L44" s="63">
        <f>$L$20</f>
        <v>8.7266462599716474E-2</v>
      </c>
      <c r="M44" s="67"/>
      <c r="N44" s="43" t="s">
        <v>406</v>
      </c>
      <c r="O44" s="63">
        <f>$L$20</f>
        <v>8.7266462599716474E-2</v>
      </c>
      <c r="P44" s="67"/>
      <c r="Q44" s="43" t="s">
        <v>406</v>
      </c>
      <c r="R44" s="63">
        <f>$L$20</f>
        <v>8.7266462599716474E-2</v>
      </c>
    </row>
    <row r="45" spans="2:18">
      <c r="E45" s="799" t="s">
        <v>169</v>
      </c>
      <c r="F45" s="800"/>
      <c r="G45" s="800"/>
      <c r="H45" s="800"/>
      <c r="I45" s="399">
        <f>$L$23</f>
        <v>7.88</v>
      </c>
      <c r="J45" s="68"/>
      <c r="K45" s="62" t="s">
        <v>169</v>
      </c>
      <c r="L45" s="205">
        <f>$L$23</f>
        <v>7.88</v>
      </c>
      <c r="M45" s="69"/>
      <c r="N45" s="62" t="s">
        <v>169</v>
      </c>
      <c r="O45" s="205">
        <f>$L$23</f>
        <v>7.88</v>
      </c>
      <c r="P45" s="70"/>
      <c r="Q45" s="62" t="s">
        <v>169</v>
      </c>
      <c r="R45" s="205">
        <f>$L$23</f>
        <v>7.88</v>
      </c>
    </row>
    <row r="46" spans="2:18">
      <c r="E46" s="799" t="s">
        <v>407</v>
      </c>
      <c r="F46" s="800"/>
      <c r="G46" s="800"/>
      <c r="H46" s="800"/>
      <c r="I46" s="398" t="e">
        <f>(((PI()/4)*(((I45^2))-(I42^2)))/144)*(1+(0.01*I50))</f>
        <v>#REF!</v>
      </c>
      <c r="J46" s="66"/>
      <c r="K46" s="62" t="s">
        <v>407</v>
      </c>
      <c r="L46" s="63" t="e">
        <f>(((PI()/4)*(((L45^2))-(L42^2)))/144)*(1+(0.01*L50))</f>
        <v>#REF!</v>
      </c>
      <c r="M46" s="66"/>
      <c r="N46" s="62" t="s">
        <v>407</v>
      </c>
      <c r="O46" s="63" t="e">
        <f>(((PI()/4)*(((O45^2))-(O42^2)))/144)*(1+(0.01*O50))</f>
        <v>#REF!</v>
      </c>
      <c r="P46" s="66"/>
      <c r="Q46" s="62" t="s">
        <v>407</v>
      </c>
      <c r="R46" s="63" t="e">
        <f>(((PI()/4)*(((R45^2))-(R42^2)))/144)*(1+(0.01*R50))</f>
        <v>#REF!</v>
      </c>
    </row>
    <row r="47" spans="2:18">
      <c r="E47" s="799" t="s">
        <v>408</v>
      </c>
      <c r="F47" s="800"/>
      <c r="G47" s="800"/>
      <c r="H47" s="800"/>
      <c r="I47" s="400" t="e">
        <f>Hesitation_CICR__ft</f>
        <v>#REF!</v>
      </c>
      <c r="K47" s="207" t="s">
        <v>408</v>
      </c>
      <c r="L47" s="305" t="e">
        <f>BH_CICR__ft</f>
        <v>#REF!</v>
      </c>
      <c r="M47" s="13"/>
      <c r="N47" s="207" t="s">
        <v>408</v>
      </c>
      <c r="O47" s="305" t="e">
        <f>SUSX_SH_CICR__ft</f>
        <v>#REF!</v>
      </c>
      <c r="P47" s="13"/>
      <c r="Q47" s="207" t="s">
        <v>408</v>
      </c>
      <c r="R47" s="305" t="e">
        <f>NB_CICR__ft</f>
        <v>#REF!</v>
      </c>
    </row>
    <row r="48" spans="2:18">
      <c r="E48" s="799" t="s">
        <v>595</v>
      </c>
      <c r="F48" s="800"/>
      <c r="G48" s="800"/>
      <c r="H48" s="800"/>
      <c r="I48" s="400" t="e">
        <f>Hesitation_Bot_Sq_Holes__ft</f>
        <v>#REF!</v>
      </c>
      <c r="K48" s="62" t="s">
        <v>595</v>
      </c>
      <c r="L48" s="305" t="e">
        <f>BH_Bot_Sq_Holes__ft</f>
        <v>#REF!</v>
      </c>
      <c r="M48" s="13"/>
      <c r="N48" s="62" t="s">
        <v>595</v>
      </c>
      <c r="O48" s="305" t="e">
        <f>SUSX_SH_Bot_Sq_Holes__ft</f>
        <v>#REF!</v>
      </c>
      <c r="P48" s="13"/>
      <c r="Q48" s="62" t="s">
        <v>595</v>
      </c>
      <c r="R48" s="305" t="e">
        <f>NB_Bot_Sq_Holes__ft</f>
        <v>#REF!</v>
      </c>
    </row>
    <row r="49" spans="3:19">
      <c r="E49" s="799" t="s">
        <v>597</v>
      </c>
      <c r="F49" s="800"/>
      <c r="G49" s="800"/>
      <c r="H49" s="800"/>
      <c r="I49" s="400" t="e">
        <f>Hesitation_TOC_outside_Casing__ft</f>
        <v>#REF!</v>
      </c>
      <c r="K49" s="62" t="s">
        <v>596</v>
      </c>
      <c r="L49" s="305" t="e">
        <f>BH_Top_Sq_Holes__ft</f>
        <v>#REF!</v>
      </c>
      <c r="M49" s="13"/>
      <c r="N49" s="62" t="s">
        <v>596</v>
      </c>
      <c r="O49" s="305" t="e">
        <f>SUSX_SH_Top_Sq_Holes__ft</f>
        <v>#REF!</v>
      </c>
      <c r="P49" s="13"/>
      <c r="Q49" s="62" t="s">
        <v>596</v>
      </c>
      <c r="R49" s="305" t="e">
        <f>NB_Top_Sq_Holes__ft</f>
        <v>#REF!</v>
      </c>
    </row>
    <row r="50" spans="3:19">
      <c r="E50" s="799" t="s">
        <v>409</v>
      </c>
      <c r="F50" s="800"/>
      <c r="G50" s="800"/>
      <c r="H50" s="800"/>
      <c r="I50" s="400" t="e">
        <f>Hesitation_OH_Excess_Factor</f>
        <v>#REF!</v>
      </c>
      <c r="K50" s="41" t="s">
        <v>409</v>
      </c>
      <c r="L50" s="305" t="e">
        <f>BH_OH_Excess_Factor</f>
        <v>#REF!</v>
      </c>
      <c r="M50" s="13"/>
      <c r="N50" s="207" t="s">
        <v>409</v>
      </c>
      <c r="O50" s="305" t="e">
        <f>SUSX_SH_OH_Excess_Factor</f>
        <v>#REF!</v>
      </c>
      <c r="P50" s="13"/>
      <c r="Q50" s="207" t="s">
        <v>409</v>
      </c>
      <c r="R50" s="305" t="e">
        <f>NB_OH_Excess_Factor</f>
        <v>#REF!</v>
      </c>
    </row>
    <row r="51" spans="3:19">
      <c r="E51" s="799" t="s">
        <v>410</v>
      </c>
      <c r="F51" s="800"/>
      <c r="G51" s="800"/>
      <c r="H51" s="800"/>
      <c r="I51" s="400" t="e">
        <f>Hesitation_Cmt_Above_CICR__bbls</f>
        <v>#REF!</v>
      </c>
      <c r="K51" s="62" t="s">
        <v>410</v>
      </c>
      <c r="L51" s="305" t="e">
        <f>BH_Cmt_Above_CICR__bbl</f>
        <v>#REF!</v>
      </c>
      <c r="M51" s="13"/>
      <c r="N51" s="62" t="s">
        <v>410</v>
      </c>
      <c r="O51" s="305" t="e">
        <f>SUSX_SH_Cmt_Above_CICR__bbl</f>
        <v>#REF!</v>
      </c>
      <c r="P51" s="13"/>
      <c r="Q51" s="62" t="s">
        <v>410</v>
      </c>
      <c r="R51" s="305" t="e">
        <f>NB_Cmt_Above_CICR__bbl</f>
        <v>#REF!</v>
      </c>
    </row>
    <row r="52" spans="3:19">
      <c r="E52" s="799" t="s">
        <v>411</v>
      </c>
      <c r="F52" s="800"/>
      <c r="G52" s="800"/>
      <c r="H52" s="800"/>
      <c r="I52" s="401" t="e">
        <f>Hesitation_TOC_in_Casing__ft</f>
        <v>#REF!</v>
      </c>
      <c r="K52" s="62" t="s">
        <v>411</v>
      </c>
      <c r="L52" s="64" t="e">
        <f>BH_TOC_in_Casing__ft</f>
        <v>#REF!</v>
      </c>
      <c r="N52" s="62" t="s">
        <v>411</v>
      </c>
      <c r="O52" s="64" t="e">
        <f>SUSX_SH_TOC_in_Casing__ft</f>
        <v>#REF!</v>
      </c>
      <c r="Q52" s="62" t="s">
        <v>411</v>
      </c>
      <c r="R52" s="64" t="e">
        <f>NB_TOC_in_Casing__ft</f>
        <v>#REF!</v>
      </c>
    </row>
    <row r="53" spans="3:19">
      <c r="E53" s="799" t="s">
        <v>412</v>
      </c>
      <c r="F53" s="800"/>
      <c r="G53" s="800"/>
      <c r="H53" s="800"/>
      <c r="I53" s="402" t="e">
        <f>((I48-I49)*I44)</f>
        <v>#REF!</v>
      </c>
      <c r="K53" s="62" t="s">
        <v>412</v>
      </c>
      <c r="L53" s="211" t="e">
        <f>((L48-L47)*L44)</f>
        <v>#REF!</v>
      </c>
      <c r="N53" s="62" t="s">
        <v>412</v>
      </c>
      <c r="O53" s="211" t="e">
        <f>((O48-O47)*O44)</f>
        <v>#REF!</v>
      </c>
      <c r="Q53" s="62" t="s">
        <v>412</v>
      </c>
      <c r="R53" s="211" t="e">
        <f>((R48-R47)*R44)</f>
        <v>#REF!</v>
      </c>
    </row>
    <row r="54" spans="3:19">
      <c r="E54" s="799" t="s">
        <v>413</v>
      </c>
      <c r="F54" s="800"/>
      <c r="G54" s="800"/>
      <c r="H54" s="800"/>
      <c r="I54" s="402" t="e">
        <f>(I48-I49)*I46</f>
        <v>#REF!</v>
      </c>
      <c r="K54" s="62" t="s">
        <v>413</v>
      </c>
      <c r="L54" s="211" t="e">
        <f>(L48-L49)*L46</f>
        <v>#REF!</v>
      </c>
      <c r="N54" s="62" t="s">
        <v>413</v>
      </c>
      <c r="O54" s="211" t="e">
        <f>(O48-O49)*O46</f>
        <v>#REF!</v>
      </c>
      <c r="Q54" s="62" t="s">
        <v>413</v>
      </c>
      <c r="R54" s="211" t="e">
        <f>(R48-R49)*R46</f>
        <v>#REF!</v>
      </c>
    </row>
    <row r="55" spans="3:19">
      <c r="C55" s="215"/>
      <c r="D55" s="215" t="s">
        <v>510</v>
      </c>
      <c r="E55" s="799" t="s">
        <v>509</v>
      </c>
      <c r="F55" s="800"/>
      <c r="G55" s="800"/>
      <c r="H55" s="800"/>
      <c r="I55" s="403">
        <v>14</v>
      </c>
      <c r="K55" s="43" t="s">
        <v>509</v>
      </c>
      <c r="L55" s="44">
        <v>14</v>
      </c>
      <c r="N55" s="43" t="s">
        <v>509</v>
      </c>
      <c r="O55" s="44">
        <v>12</v>
      </c>
      <c r="Q55" s="43" t="s">
        <v>509</v>
      </c>
      <c r="R55" s="44">
        <v>15.8</v>
      </c>
      <c r="S55" s="394" t="s">
        <v>510</v>
      </c>
    </row>
    <row r="56" spans="3:19">
      <c r="C56" s="215"/>
      <c r="D56" s="215" t="s">
        <v>508</v>
      </c>
      <c r="E56" s="799" t="s">
        <v>179</v>
      </c>
      <c r="F56" s="800"/>
      <c r="G56" s="800"/>
      <c r="H56" s="800"/>
      <c r="I56" s="403">
        <v>1.55</v>
      </c>
      <c r="K56" s="41" t="s">
        <v>179</v>
      </c>
      <c r="L56" s="44">
        <v>1.55</v>
      </c>
      <c r="M56" s="320"/>
      <c r="N56" s="41" t="s">
        <v>179</v>
      </c>
      <c r="O56" s="44">
        <v>1.79</v>
      </c>
      <c r="P56" s="320"/>
      <c r="Q56" s="41" t="s">
        <v>179</v>
      </c>
      <c r="R56" s="44">
        <v>1.53</v>
      </c>
      <c r="S56" s="394" t="s">
        <v>508</v>
      </c>
    </row>
    <row r="57" spans="3:19">
      <c r="C57" s="215"/>
      <c r="D57" s="215" t="s">
        <v>421</v>
      </c>
      <c r="E57" s="799" t="s">
        <v>419</v>
      </c>
      <c r="F57" s="800"/>
      <c r="G57" s="800"/>
      <c r="H57" s="800"/>
      <c r="I57" s="404" t="e">
        <f>ROUNDUP(I51*5.6146/I56/5,0)*5</f>
        <v>#REF!</v>
      </c>
      <c r="K57" s="41" t="s">
        <v>419</v>
      </c>
      <c r="L57" s="392" t="e">
        <f>ROUNDUP(L51*5.6146/L56/5,0)*5</f>
        <v>#REF!</v>
      </c>
      <c r="N57" s="41" t="s">
        <v>419</v>
      </c>
      <c r="O57" s="392" t="e">
        <f>ROUNDUP(O51*5.6146/O56/5,0)*5</f>
        <v>#REF!</v>
      </c>
      <c r="Q57" s="41" t="s">
        <v>419</v>
      </c>
      <c r="R57" s="392" t="e">
        <f>ROUNDUP(R51*5.6146/R56/5,0)*5</f>
        <v>#REF!</v>
      </c>
      <c r="S57" s="394" t="s">
        <v>421</v>
      </c>
    </row>
    <row r="58" spans="3:19">
      <c r="C58" s="215"/>
      <c r="D58" s="215" t="s">
        <v>421</v>
      </c>
      <c r="E58" s="799" t="s">
        <v>593</v>
      </c>
      <c r="F58" s="800"/>
      <c r="G58" s="800"/>
      <c r="H58" s="800"/>
      <c r="I58" s="405" t="e">
        <f>ROUND((I53+I54)/I56/5,0)*5</f>
        <v>#REF!</v>
      </c>
      <c r="K58" s="41" t="s">
        <v>593</v>
      </c>
      <c r="L58" s="212" t="e">
        <f>ROUND((L53+L54)/L56/5,0)*5</f>
        <v>#REF!</v>
      </c>
      <c r="N58" s="41" t="s">
        <v>593</v>
      </c>
      <c r="O58" s="212" t="e">
        <f>ROUND((O53+O54)/O56/5,0)*5</f>
        <v>#REF!</v>
      </c>
      <c r="Q58" s="41" t="s">
        <v>593</v>
      </c>
      <c r="R58" s="212" t="e">
        <f>ROUND((R53+R54)/R56/5,0)*5</f>
        <v>#REF!</v>
      </c>
      <c r="S58" s="394" t="s">
        <v>421</v>
      </c>
    </row>
    <row r="59" spans="3:19">
      <c r="E59" s="799" t="s">
        <v>420</v>
      </c>
      <c r="F59" s="800"/>
      <c r="G59" s="800"/>
      <c r="H59" s="800"/>
      <c r="I59" s="405" t="e">
        <f>Hesitation_Cmt_Above_CICR__sx+I58</f>
        <v>#REF!</v>
      </c>
      <c r="K59" s="41" t="s">
        <v>420</v>
      </c>
      <c r="L59" s="212" t="e">
        <f>BH_Cmt_Above_CICR__sx+L58</f>
        <v>#REF!</v>
      </c>
      <c r="N59" s="41" t="s">
        <v>420</v>
      </c>
      <c r="O59" s="212" t="e">
        <f>SUSX_SH_Cmt_Above_CICR__sx+O58</f>
        <v>#REF!</v>
      </c>
      <c r="Q59" s="41" t="s">
        <v>420</v>
      </c>
      <c r="R59" s="212" t="e">
        <f>NB_Cmt_Above_CICR__sx+R58</f>
        <v>#REF!</v>
      </c>
    </row>
    <row r="60" spans="3:19">
      <c r="E60" s="799" t="s">
        <v>592</v>
      </c>
      <c r="F60" s="800"/>
      <c r="G60" s="800"/>
      <c r="H60" s="800"/>
      <c r="I60" s="405" t="e">
        <f>Hesitation_Cement_Vol__sx</f>
        <v>#REF!</v>
      </c>
      <c r="K60" s="41" t="s">
        <v>592</v>
      </c>
      <c r="L60" s="212" t="e">
        <f>BH_Cement_Vol__sx</f>
        <v>#REF!</v>
      </c>
      <c r="N60" s="41" t="s">
        <v>592</v>
      </c>
      <c r="O60" s="212" t="e">
        <f>SUSX_SH_Cement_Vol__sx</f>
        <v>#REF!</v>
      </c>
      <c r="Q60" s="41" t="s">
        <v>592</v>
      </c>
      <c r="R60" s="212" t="e">
        <f>NB_Cement_Vol__sx</f>
        <v>#REF!</v>
      </c>
    </row>
    <row r="61" spans="3:19" ht="15" thickBot="1">
      <c r="E61" s="803" t="s">
        <v>418</v>
      </c>
      <c r="F61" s="804"/>
      <c r="G61" s="804"/>
      <c r="H61" s="804"/>
      <c r="I61" s="406" t="e">
        <f>I60-Hesitation_Cmt_Above_CICR__sx</f>
        <v>#REF!</v>
      </c>
      <c r="K61" s="213" t="s">
        <v>418</v>
      </c>
      <c r="L61" s="393" t="e">
        <f>L60-BH_Cmt_Above_CICR__sx</f>
        <v>#REF!</v>
      </c>
      <c r="N61" s="213" t="s">
        <v>418</v>
      </c>
      <c r="O61" s="393" t="e">
        <f>O60-SUSX_SH_Cmt_Above_CICR__sx</f>
        <v>#REF!</v>
      </c>
      <c r="Q61" s="213" t="s">
        <v>418</v>
      </c>
      <c r="R61" s="393" t="e">
        <f>R60-NB_Cmt_Above_CICR__sx</f>
        <v>#REF!</v>
      </c>
    </row>
  </sheetData>
  <mergeCells count="60">
    <mergeCell ref="E57:H57"/>
    <mergeCell ref="E58:H58"/>
    <mergeCell ref="E59:H59"/>
    <mergeCell ref="E60:H60"/>
    <mergeCell ref="E61:H61"/>
    <mergeCell ref="E52:H52"/>
    <mergeCell ref="E53:H53"/>
    <mergeCell ref="E54:H54"/>
    <mergeCell ref="E55:H55"/>
    <mergeCell ref="E56:H56"/>
    <mergeCell ref="E47:H47"/>
    <mergeCell ref="E48:H48"/>
    <mergeCell ref="E49:H49"/>
    <mergeCell ref="E50:H50"/>
    <mergeCell ref="E51:H51"/>
    <mergeCell ref="E42:H42"/>
    <mergeCell ref="E43:H43"/>
    <mergeCell ref="E44:H44"/>
    <mergeCell ref="E45:H45"/>
    <mergeCell ref="E46:H46"/>
    <mergeCell ref="T19:T23"/>
    <mergeCell ref="U20:U23"/>
    <mergeCell ref="U5:U10"/>
    <mergeCell ref="X5:X8"/>
    <mergeCell ref="T11:T18"/>
    <mergeCell ref="U11:U12"/>
    <mergeCell ref="X11:X12"/>
    <mergeCell ref="U13:U18"/>
    <mergeCell ref="X14:X15"/>
    <mergeCell ref="X17:X18"/>
    <mergeCell ref="T2:T10"/>
    <mergeCell ref="U2:U4"/>
    <mergeCell ref="W2:W4"/>
    <mergeCell ref="X2:X4"/>
    <mergeCell ref="K1:L1"/>
    <mergeCell ref="Q40:R41"/>
    <mergeCell ref="N18:O18"/>
    <mergeCell ref="M19:M22"/>
    <mergeCell ref="M23:M27"/>
    <mergeCell ref="M28:M33"/>
    <mergeCell ref="K40:L41"/>
    <mergeCell ref="B2:G3"/>
    <mergeCell ref="D4:G4"/>
    <mergeCell ref="D5:G5"/>
    <mergeCell ref="K5:L5"/>
    <mergeCell ref="N5:O5"/>
    <mergeCell ref="A7:G7"/>
    <mergeCell ref="K18:M18"/>
    <mergeCell ref="N40:O41"/>
    <mergeCell ref="M34:M37"/>
    <mergeCell ref="N23:O23"/>
    <mergeCell ref="N31:O31"/>
    <mergeCell ref="A8:A9"/>
    <mergeCell ref="D8:D9"/>
    <mergeCell ref="E8:E9"/>
    <mergeCell ref="F8:F9"/>
    <mergeCell ref="G8:G9"/>
    <mergeCell ref="B8:B9"/>
    <mergeCell ref="C8:C9"/>
    <mergeCell ref="E40:I41"/>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'Max Treating Pressures'!$H$14:$H$19</xm:f>
          </x14:formula1>
          <xm:sqref>L3</xm:sqref>
        </x14:dataValidation>
        <x14:dataValidation type="list" allowBlank="1" showInputMessage="1" showErrorMessage="1">
          <x14:formula1>
            <xm:f>'Max Treating Pressures'!$I$13:$K$13</xm:f>
          </x14:formula1>
          <xm:sqref>L2</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tabColor theme="8" tint="-0.249977111117893"/>
  </sheetPr>
  <dimension ref="A1:Y572"/>
  <sheetViews>
    <sheetView topLeftCell="A22" zoomScale="85" zoomScaleNormal="85" zoomScaleSheetLayoutView="100" workbookViewId="0">
      <selection activeCell="A69" sqref="A1:V69"/>
    </sheetView>
  </sheetViews>
  <sheetFormatPr defaultColWidth="9.109375" defaultRowHeight="14.4"/>
  <cols>
    <col min="1" max="1" width="29.5546875" style="25" customWidth="1"/>
    <col min="2" max="2" width="33.44140625" style="25" customWidth="1"/>
    <col min="3" max="3" width="7.109375" style="9" customWidth="1"/>
    <col min="4" max="4" width="17.6640625" style="25" customWidth="1"/>
    <col min="5" max="5" width="7.44140625" style="9" customWidth="1"/>
    <col min="6" max="6" width="39.6640625" style="9" customWidth="1"/>
    <col min="7" max="7" width="8.109375" style="9" customWidth="1"/>
    <col min="8" max="8" width="28.6640625" style="9" bestFit="1" customWidth="1"/>
    <col min="9" max="9" width="7.6640625" style="25" customWidth="1"/>
    <col min="10" max="10" width="7" style="9" bestFit="1" customWidth="1"/>
    <col min="11" max="11" width="7.44140625" style="9" bestFit="1" customWidth="1"/>
    <col min="12" max="12" width="4" style="9" customWidth="1"/>
    <col min="13" max="13" width="27.6640625" style="9" customWidth="1"/>
    <col min="14" max="16" width="12.88671875" style="9" customWidth="1"/>
    <col min="17" max="17" width="19.44140625" style="9" customWidth="1"/>
    <col min="18" max="18" width="14.44140625" style="9" hidden="1" customWidth="1"/>
    <col min="19" max="19" width="12.5546875" style="9" hidden="1" customWidth="1"/>
    <col min="20" max="20" width="14.88671875" style="9" hidden="1" customWidth="1"/>
    <col min="21" max="21" width="14" style="9" hidden="1" customWidth="1"/>
    <col min="22" max="22" width="8.5546875" style="9" hidden="1" customWidth="1"/>
    <col min="23" max="23" width="12.5546875" style="9" hidden="1" customWidth="1"/>
    <col min="24" max="24" width="13.6640625" style="9" hidden="1" customWidth="1"/>
    <col min="25" max="25" width="15.44140625" style="9" hidden="1" customWidth="1"/>
    <col min="26" max="31" width="9.109375" style="9" customWidth="1"/>
    <col min="32" max="16384" width="9.109375" style="9"/>
  </cols>
  <sheetData>
    <row r="1" spans="1:25" ht="21">
      <c r="A1" s="831" t="s">
        <v>532</v>
      </c>
      <c r="B1" s="832"/>
      <c r="C1" s="832"/>
      <c r="D1" s="832"/>
      <c r="E1" s="832"/>
      <c r="F1" s="832"/>
      <c r="G1" s="832"/>
      <c r="H1" s="832"/>
      <c r="I1" s="832"/>
      <c r="J1" s="832"/>
      <c r="K1" s="833"/>
      <c r="R1" s="9" t="s">
        <v>612</v>
      </c>
    </row>
    <row r="2" spans="1:25" ht="15" customHeight="1">
      <c r="A2" s="353"/>
      <c r="B2" s="354"/>
      <c r="C2" s="33"/>
      <c r="D2" s="33"/>
      <c r="E2" s="33"/>
      <c r="F2" s="33"/>
      <c r="G2" s="190"/>
      <c r="H2" s="826" t="s">
        <v>533</v>
      </c>
      <c r="I2" s="826"/>
      <c r="J2" s="826"/>
      <c r="K2" s="827"/>
      <c r="R2" s="824" t="s">
        <v>540</v>
      </c>
      <c r="S2" s="825"/>
    </row>
    <row r="3" spans="1:25" ht="27.75" customHeight="1">
      <c r="A3" s="814" t="s">
        <v>534</v>
      </c>
      <c r="B3" s="815"/>
      <c r="C3" s="355"/>
      <c r="D3" s="816" t="s">
        <v>534</v>
      </c>
      <c r="E3" s="816"/>
      <c r="F3" s="816"/>
      <c r="G3" s="190"/>
      <c r="H3" s="356" t="s">
        <v>535</v>
      </c>
      <c r="I3" s="834">
        <v>8.33</v>
      </c>
      <c r="J3" s="834"/>
      <c r="K3" s="835"/>
      <c r="R3" s="361" t="s">
        <v>68</v>
      </c>
      <c r="S3" s="362">
        <v>0.6</v>
      </c>
    </row>
    <row r="4" spans="1:25" ht="27.75" customHeight="1">
      <c r="A4" s="357" t="s">
        <v>534</v>
      </c>
      <c r="B4" s="358" t="s">
        <v>536</v>
      </c>
      <c r="C4" s="35"/>
      <c r="D4" s="359" t="str">
        <f>"=" &amp;I10&amp; "*" &amp; I5</f>
        <v>=0.7*3500</v>
      </c>
      <c r="E4" s="359">
        <f>I10*I5</f>
        <v>2450</v>
      </c>
      <c r="F4" s="360" t="s">
        <v>537</v>
      </c>
      <c r="G4" s="190"/>
      <c r="H4" s="356" t="s">
        <v>538</v>
      </c>
      <c r="I4" s="822">
        <v>3470</v>
      </c>
      <c r="J4" s="822"/>
      <c r="K4" s="823"/>
      <c r="R4" s="361" t="s">
        <v>548</v>
      </c>
      <c r="S4" s="362">
        <v>0.8</v>
      </c>
    </row>
    <row r="5" spans="1:25" ht="27.75" customHeight="1">
      <c r="A5" s="357"/>
      <c r="B5" s="358"/>
      <c r="C5" s="190"/>
      <c r="D5" s="359"/>
      <c r="E5" s="359"/>
      <c r="F5" s="360"/>
      <c r="G5" s="190"/>
      <c r="H5" s="356" t="s">
        <v>539</v>
      </c>
      <c r="I5" s="822">
        <v>3500</v>
      </c>
      <c r="J5" s="822"/>
      <c r="K5" s="823"/>
      <c r="R5" s="365" t="s">
        <v>550</v>
      </c>
      <c r="S5" s="366">
        <v>0.7</v>
      </c>
    </row>
    <row r="6" spans="1:25" ht="27.75" customHeight="1">
      <c r="A6" s="814" t="s">
        <v>541</v>
      </c>
      <c r="B6" s="815"/>
      <c r="C6" s="355"/>
      <c r="D6" s="816" t="s">
        <v>541</v>
      </c>
      <c r="E6" s="816"/>
      <c r="F6" s="816"/>
      <c r="G6" s="190"/>
      <c r="H6" s="356" t="s">
        <v>542</v>
      </c>
      <c r="I6" s="822">
        <v>2</v>
      </c>
      <c r="J6" s="822"/>
      <c r="K6" s="823"/>
    </row>
    <row r="7" spans="1:25" ht="27.75" customHeight="1">
      <c r="A7" s="357" t="s">
        <v>543</v>
      </c>
      <c r="B7" s="358" t="s">
        <v>544</v>
      </c>
      <c r="C7" s="35"/>
      <c r="D7" s="359" t="str">
        <f>"=.052*" &amp; I3 &amp; "*" &amp; I5</f>
        <v>=.052*8.33*3500</v>
      </c>
      <c r="E7" s="359">
        <f>ROUND(0.052*I3*I5,0)</f>
        <v>1516</v>
      </c>
      <c r="F7" s="360" t="s">
        <v>545</v>
      </c>
      <c r="G7" s="190"/>
      <c r="H7" s="356" t="s">
        <v>546</v>
      </c>
      <c r="I7" s="822" t="s">
        <v>547</v>
      </c>
      <c r="J7" s="822"/>
      <c r="K7" s="823"/>
      <c r="R7" s="25" t="s">
        <v>546</v>
      </c>
      <c r="S7" s="25" t="s">
        <v>572</v>
      </c>
      <c r="T7" s="25" t="s">
        <v>170</v>
      </c>
      <c r="U7" s="25" t="s">
        <v>630</v>
      </c>
    </row>
    <row r="8" spans="1:25" ht="27.75" customHeight="1">
      <c r="A8" s="363"/>
      <c r="B8" s="364"/>
      <c r="C8" s="35"/>
      <c r="D8" s="359"/>
      <c r="E8" s="359"/>
      <c r="F8" s="35"/>
      <c r="G8" s="190"/>
      <c r="H8" s="356" t="s">
        <v>549</v>
      </c>
      <c r="I8" s="812">
        <f>IF(I7=I13,VLOOKUP(I6,H13:L19,2),IF(I7=J13,VLOOKUP(I6,H13:K19,3),VLOOKUP(I6,H13:K19,4)))</f>
        <v>4.9000000000000002E-2</v>
      </c>
      <c r="J8" s="812"/>
      <c r="K8" s="813"/>
      <c r="R8" s="407" t="s">
        <v>561</v>
      </c>
      <c r="S8" s="25">
        <v>1.7509999999999999</v>
      </c>
      <c r="T8" s="438">
        <v>1.6722721210996695E-2</v>
      </c>
      <c r="U8" s="438">
        <f>S8^2/1029.4</f>
        <v>2.9784350106858357E-3</v>
      </c>
    </row>
    <row r="9" spans="1:25" ht="27.75" customHeight="1">
      <c r="A9" s="814" t="str">
        <f>"Friction Pressure Calcuations @ "&amp;I6&amp; " BPM in " &amp;I7&amp; " tubing"</f>
        <v>Friction Pressure Calcuations @ 2 BPM in 2.375" tubing</v>
      </c>
      <c r="B9" s="815"/>
      <c r="C9" s="355"/>
      <c r="D9" s="816" t="str">
        <f>"Friction Pressure Calcuations @ "&amp;I6&amp; " BPM in " &amp;I7&amp; " tubing"</f>
        <v>Friction Pressure Calcuations @ 2 BPM in 2.375" tubing</v>
      </c>
      <c r="E9" s="816"/>
      <c r="F9" s="816"/>
      <c r="G9" s="190"/>
      <c r="H9" s="367" t="s">
        <v>551</v>
      </c>
      <c r="I9" s="822" t="s">
        <v>550</v>
      </c>
      <c r="J9" s="822"/>
      <c r="K9" s="823"/>
      <c r="R9" s="407" t="s">
        <v>547</v>
      </c>
      <c r="S9" s="25">
        <v>1.9950000000000001</v>
      </c>
      <c r="T9" s="438">
        <v>2.1708032217796776E-2</v>
      </c>
      <c r="U9" s="438">
        <f>S9^2/1029.4</f>
        <v>3.866354186904993E-3</v>
      </c>
    </row>
    <row r="10" spans="1:25" ht="27.75" customHeight="1">
      <c r="A10" s="357" t="s">
        <v>552</v>
      </c>
      <c r="B10" s="358" t="s">
        <v>553</v>
      </c>
      <c r="C10" s="35"/>
      <c r="D10" s="359" t="str">
        <f>"=" &amp; I8 &amp; "*" &amp; I4</f>
        <v>=0.049*3470</v>
      </c>
      <c r="E10" s="359">
        <f>ROUNDUP(I8*I4,0)</f>
        <v>171</v>
      </c>
      <c r="F10" s="360" t="s">
        <v>554</v>
      </c>
      <c r="G10" s="190"/>
      <c r="H10" s="356" t="s">
        <v>555</v>
      </c>
      <c r="I10" s="812">
        <f>VLOOKUP(I9,R3:S5,2,FALSE)</f>
        <v>0.7</v>
      </c>
      <c r="J10" s="812"/>
      <c r="K10" s="813"/>
      <c r="R10" s="407" t="s">
        <v>562</v>
      </c>
      <c r="S10" s="25">
        <v>2.4409999999999998</v>
      </c>
      <c r="T10" s="438">
        <v>3.2499016342141043E-2</v>
      </c>
      <c r="U10" s="438">
        <f>S10^2/1029.4</f>
        <v>5.7883048377695727E-3</v>
      </c>
    </row>
    <row r="11" spans="1:25" ht="27.75" customHeight="1">
      <c r="A11" s="368"/>
      <c r="B11" s="352"/>
      <c r="C11" s="190"/>
      <c r="D11" s="352"/>
      <c r="E11" s="190"/>
      <c r="F11" s="190"/>
      <c r="G11" s="190"/>
      <c r="H11" s="812" t="s">
        <v>556</v>
      </c>
      <c r="I11" s="812"/>
      <c r="J11" s="812"/>
      <c r="K11" s="813"/>
    </row>
    <row r="12" spans="1:25" ht="27.75" customHeight="1" thickBot="1">
      <c r="A12" s="814" t="str">
        <f>"Max Surface Pressures @ " &amp;I6&amp; " BPM"</f>
        <v>Max Surface Pressures @ 2 BPM</v>
      </c>
      <c r="B12" s="815"/>
      <c r="C12" s="355"/>
      <c r="D12" s="816" t="str">
        <f>"Max Surface Pressures @ " &amp;I6&amp; " BPM"</f>
        <v>Max Surface Pressures @ 2 BPM</v>
      </c>
      <c r="E12" s="816"/>
      <c r="F12" s="816"/>
      <c r="G12" s="190"/>
      <c r="H12" s="356" t="s">
        <v>542</v>
      </c>
      <c r="I12" s="817" t="s">
        <v>557</v>
      </c>
      <c r="J12" s="817"/>
      <c r="K12" s="818"/>
      <c r="L12" s="369"/>
      <c r="R12" s="9" t="s">
        <v>629</v>
      </c>
      <c r="S12" s="9" t="s">
        <v>174</v>
      </c>
      <c r="T12" s="9" t="s">
        <v>175</v>
      </c>
      <c r="U12" s="9" t="s">
        <v>176</v>
      </c>
      <c r="V12" s="9" t="s">
        <v>177</v>
      </c>
      <c r="W12" s="9" t="s">
        <v>178</v>
      </c>
      <c r="X12" s="9" t="s">
        <v>170</v>
      </c>
      <c r="Y12" s="9" t="s">
        <v>630</v>
      </c>
    </row>
    <row r="13" spans="1:25" ht="27.75" customHeight="1" thickBot="1">
      <c r="A13" s="357" t="s">
        <v>558</v>
      </c>
      <c r="B13" s="358" t="s">
        <v>559</v>
      </c>
      <c r="C13" s="35"/>
      <c r="D13" s="359" t="str">
        <f>"=" &amp;E4&amp; "-" &amp; E7 &amp; "+" &amp; E10</f>
        <v>=2450-1516+171</v>
      </c>
      <c r="E13" s="370">
        <f>E4-E7+E10</f>
        <v>1105</v>
      </c>
      <c r="F13" s="360" t="s">
        <v>560</v>
      </c>
      <c r="G13" s="190"/>
      <c r="H13" s="371"/>
      <c r="I13" s="372" t="s">
        <v>561</v>
      </c>
      <c r="J13" s="372" t="s">
        <v>547</v>
      </c>
      <c r="K13" s="373" t="s">
        <v>562</v>
      </c>
      <c r="R13" s="9" t="s">
        <v>625</v>
      </c>
      <c r="S13" s="9">
        <v>7</v>
      </c>
      <c r="T13" s="9">
        <v>26</v>
      </c>
      <c r="U13" s="9">
        <v>7</v>
      </c>
      <c r="V13" s="9">
        <v>6.2759999999999998</v>
      </c>
      <c r="W13" s="9">
        <v>5.2424367475691111E-2</v>
      </c>
      <c r="X13" s="9">
        <v>0.21482917423594064</v>
      </c>
      <c r="Y13" s="9">
        <v>3.8262596487005418E-2</v>
      </c>
    </row>
    <row r="14" spans="1:25" ht="27.75" customHeight="1" thickBot="1">
      <c r="A14" s="368"/>
      <c r="B14" s="352"/>
      <c r="C14" s="190"/>
      <c r="D14" s="828" t="str">
        <f>"IF UNABLE TO CIRCULATE UNDER MAX SURFACE PRESSURE AT " &amp; I6 &amp;" BPM WITH WATER BEFORE JOB - CALL ENGINEER"</f>
        <v>IF UNABLE TO CIRCULATE UNDER MAX SURFACE PRESSURE AT 2 BPM WITH WATER BEFORE JOB - CALL ENGINEER</v>
      </c>
      <c r="E14" s="829"/>
      <c r="F14" s="830"/>
      <c r="G14" s="190"/>
      <c r="H14" s="356">
        <v>1</v>
      </c>
      <c r="I14" s="356">
        <f>27/1000</f>
        <v>2.7E-2</v>
      </c>
      <c r="J14" s="356">
        <v>1.4999999999999999E-2</v>
      </c>
      <c r="K14" s="374">
        <f>6/1000</f>
        <v>6.0000000000000001E-3</v>
      </c>
      <c r="L14" s="375"/>
      <c r="R14" s="9" t="s">
        <v>129</v>
      </c>
      <c r="S14" s="9">
        <v>7</v>
      </c>
      <c r="T14" s="9">
        <v>23</v>
      </c>
      <c r="U14" s="9">
        <v>7</v>
      </c>
      <c r="V14" s="9">
        <v>6.3659999999999997</v>
      </c>
      <c r="W14" s="9">
        <v>4.6218740237147046E-2</v>
      </c>
      <c r="X14" s="9">
        <v>0.2210348014744847</v>
      </c>
      <c r="Y14" s="9">
        <v>3.9367862621466299E-2</v>
      </c>
    </row>
    <row r="15" spans="1:25" ht="27.75" customHeight="1">
      <c r="A15" s="368"/>
      <c r="B15" s="352"/>
      <c r="C15" s="35"/>
      <c r="D15" s="352"/>
      <c r="E15" s="190"/>
      <c r="F15" s="190"/>
      <c r="G15" s="190"/>
      <c r="H15" s="356">
        <v>1.5</v>
      </c>
      <c r="I15" s="356">
        <f>(I14+I16)/2</f>
        <v>5.9499999999999997E-2</v>
      </c>
      <c r="J15" s="356">
        <f>(J14+J16)/2</f>
        <v>3.2000000000000001E-2</v>
      </c>
      <c r="K15" s="374">
        <f>(K14+K16)/2</f>
        <v>1.2500000000000001E-2</v>
      </c>
      <c r="R15" s="9" t="s">
        <v>325</v>
      </c>
      <c r="S15" s="9">
        <v>7</v>
      </c>
      <c r="T15" s="9">
        <v>17</v>
      </c>
      <c r="U15" s="9">
        <v>7</v>
      </c>
      <c r="V15" s="9">
        <v>6.5380000000000003</v>
      </c>
      <c r="W15" s="9">
        <v>3.411331107823954E-2</v>
      </c>
      <c r="X15" s="9">
        <v>0.23314023063339223</v>
      </c>
      <c r="Y15" s="9">
        <v>4.1523925236596058E-2</v>
      </c>
    </row>
    <row r="16" spans="1:25" ht="27.75" customHeight="1">
      <c r="A16" s="368"/>
      <c r="B16" s="352"/>
      <c r="C16" s="190"/>
      <c r="D16" s="352"/>
      <c r="E16" s="190"/>
      <c r="F16" s="190"/>
      <c r="G16" s="190"/>
      <c r="H16" s="356">
        <v>2</v>
      </c>
      <c r="I16" s="356">
        <f>92/1000</f>
        <v>9.1999999999999998E-2</v>
      </c>
      <c r="J16" s="356">
        <v>4.9000000000000002E-2</v>
      </c>
      <c r="K16" s="374">
        <f>19/1000</f>
        <v>1.9E-2</v>
      </c>
      <c r="R16" s="9" t="s">
        <v>126</v>
      </c>
      <c r="S16" s="9">
        <v>5.5</v>
      </c>
      <c r="T16" s="9">
        <v>17</v>
      </c>
      <c r="U16" s="9">
        <v>5.5</v>
      </c>
      <c r="V16" s="9">
        <v>4.8920000000000003</v>
      </c>
      <c r="W16" s="9">
        <v>3.4461177014777605E-2</v>
      </c>
      <c r="X16" s="9">
        <v>0.13052697883781134</v>
      </c>
      <c r="Y16" s="9">
        <v>2.3247778797743621E-2</v>
      </c>
    </row>
    <row r="17" spans="1:25" ht="27.75" customHeight="1">
      <c r="A17" s="363"/>
      <c r="B17" s="364"/>
      <c r="C17" s="35"/>
      <c r="D17" s="359"/>
      <c r="E17" s="359"/>
      <c r="F17" s="35"/>
      <c r="G17" s="190"/>
      <c r="H17" s="356">
        <v>2.5</v>
      </c>
      <c r="I17" s="356">
        <f>(I16+I18)/2</f>
        <v>0.13950000000000001</v>
      </c>
      <c r="J17" s="356">
        <f>(J16+J18)/2</f>
        <v>7.5000000000000011E-2</v>
      </c>
      <c r="K17" s="374">
        <f>(K16+K18)/2</f>
        <v>2.8999999999999998E-2</v>
      </c>
      <c r="R17" s="9" t="s">
        <v>128</v>
      </c>
      <c r="S17" s="9">
        <v>5.5</v>
      </c>
      <c r="T17" s="9">
        <v>15.5</v>
      </c>
      <c r="U17" s="9">
        <v>5.5</v>
      </c>
      <c r="V17" s="9">
        <v>4.95</v>
      </c>
      <c r="W17" s="9">
        <v>3.1347749611991854E-2</v>
      </c>
      <c r="X17" s="9">
        <v>0.13364040624059709</v>
      </c>
      <c r="Y17" s="9">
        <v>2.380230225494195E-2</v>
      </c>
    </row>
    <row r="18" spans="1:25" ht="27.75" customHeight="1">
      <c r="H18" s="356">
        <v>3</v>
      </c>
      <c r="I18" s="356">
        <f>187/1000</f>
        <v>0.187</v>
      </c>
      <c r="J18" s="356">
        <v>0.10100000000000001</v>
      </c>
      <c r="K18" s="374">
        <f>39/1000</f>
        <v>3.9E-2</v>
      </c>
      <c r="R18" s="9" t="s">
        <v>132</v>
      </c>
      <c r="S18" s="9">
        <v>4.5</v>
      </c>
      <c r="T18" s="9">
        <v>10.5</v>
      </c>
      <c r="U18" s="9">
        <v>4.5</v>
      </c>
      <c r="V18" s="9">
        <v>4.0519999999999996</v>
      </c>
      <c r="W18" s="9">
        <v>2.0896478068277734E-2</v>
      </c>
      <c r="X18" s="9">
        <v>8.9550138659488437E-2</v>
      </c>
      <c r="Y18" s="9">
        <v>1.5949513528922529E-2</v>
      </c>
    </row>
    <row r="19" spans="1:25" ht="27.75" customHeight="1" thickBot="1">
      <c r="A19" s="376"/>
      <c r="B19" s="377"/>
      <c r="C19" s="378"/>
      <c r="D19" s="379"/>
      <c r="E19" s="379"/>
      <c r="F19" s="378"/>
      <c r="G19" s="380"/>
      <c r="H19" s="381">
        <v>6</v>
      </c>
      <c r="I19" s="381">
        <f>629/1000</f>
        <v>0.629</v>
      </c>
      <c r="J19" s="381">
        <v>0.33900000000000002</v>
      </c>
      <c r="K19" s="382">
        <f>130/1000</f>
        <v>0.13</v>
      </c>
      <c r="R19" s="9" t="s">
        <v>131</v>
      </c>
      <c r="S19" s="9">
        <v>4.5</v>
      </c>
      <c r="T19" s="9">
        <v>11.6</v>
      </c>
      <c r="U19" s="9">
        <v>4.5</v>
      </c>
      <c r="V19" s="9">
        <v>4</v>
      </c>
      <c r="W19" s="9">
        <v>2.3180154128049694E-2</v>
      </c>
      <c r="X19" s="9">
        <v>8.7266462599716474E-2</v>
      </c>
      <c r="Y19" s="9">
        <v>1.5542774658874447E-2</v>
      </c>
    </row>
    <row r="20" spans="1:25" ht="27.75" customHeight="1" thickBot="1">
      <c r="A20" s="383"/>
      <c r="B20" s="384"/>
      <c r="C20" s="385"/>
      <c r="D20" s="383"/>
      <c r="E20" s="383"/>
      <c r="F20" s="385"/>
      <c r="R20" s="9" t="s">
        <v>239</v>
      </c>
      <c r="S20" s="9">
        <v>4.5</v>
      </c>
      <c r="T20" s="9">
        <v>12.6</v>
      </c>
      <c r="U20" s="9">
        <v>4.5</v>
      </c>
      <c r="V20" s="9">
        <v>3.9580000000000002</v>
      </c>
      <c r="W20" s="9">
        <v>2.5003128715142101E-2</v>
      </c>
      <c r="X20" s="9">
        <v>8.5443488012624066E-2</v>
      </c>
      <c r="Y20" s="9">
        <v>1.5218089981944228E-2</v>
      </c>
    </row>
    <row r="21" spans="1:25" ht="21">
      <c r="A21" s="831" t="s">
        <v>563</v>
      </c>
      <c r="B21" s="832"/>
      <c r="C21" s="832"/>
      <c r="D21" s="832"/>
      <c r="E21" s="832"/>
      <c r="F21" s="832"/>
      <c r="G21" s="832"/>
      <c r="H21" s="832"/>
      <c r="I21" s="832"/>
      <c r="J21" s="832"/>
      <c r="K21" s="833"/>
      <c r="R21" s="9" t="s">
        <v>133</v>
      </c>
      <c r="S21" s="9">
        <v>3.5</v>
      </c>
      <c r="T21" s="9">
        <v>12.95</v>
      </c>
      <c r="U21" s="9">
        <v>3.5</v>
      </c>
      <c r="V21" s="9">
        <v>2.75</v>
      </c>
      <c r="W21" s="9">
        <v>2.5566346464760706E-2</v>
      </c>
      <c r="X21" s="9">
        <v>4.1247038963147235E-2</v>
      </c>
      <c r="Y21" s="9">
        <v>7.3463895848586242E-3</v>
      </c>
    </row>
    <row r="22" spans="1:25" ht="15" customHeight="1">
      <c r="A22" s="353"/>
      <c r="B22" s="354"/>
      <c r="C22" s="33"/>
      <c r="D22" s="33"/>
      <c r="E22" s="33"/>
      <c r="F22" s="33"/>
      <c r="G22" s="190"/>
      <c r="H22" s="826" t="s">
        <v>533</v>
      </c>
      <c r="I22" s="826"/>
      <c r="J22" s="826"/>
      <c r="K22" s="827"/>
      <c r="R22" s="9" t="s">
        <v>134</v>
      </c>
      <c r="S22" s="9">
        <v>3.5</v>
      </c>
      <c r="T22" s="9">
        <v>9.3000000000000007</v>
      </c>
      <c r="U22" s="9">
        <v>3.5</v>
      </c>
      <c r="V22" s="9">
        <v>2.992</v>
      </c>
      <c r="W22" s="9">
        <v>1.7987450537516179E-2</v>
      </c>
      <c r="X22" s="9">
        <v>4.8825934890391762E-2</v>
      </c>
      <c r="Y22" s="9">
        <v>8.696244592738888E-3</v>
      </c>
    </row>
    <row r="23" spans="1:25" ht="27.75" customHeight="1">
      <c r="A23" s="814" t="s">
        <v>534</v>
      </c>
      <c r="B23" s="815"/>
      <c r="C23" s="355"/>
      <c r="D23" s="816" t="s">
        <v>534</v>
      </c>
      <c r="E23" s="816"/>
      <c r="F23" s="816"/>
      <c r="G23" s="190"/>
      <c r="H23" s="356" t="s">
        <v>564</v>
      </c>
      <c r="I23" s="822">
        <v>14</v>
      </c>
      <c r="J23" s="822"/>
      <c r="K23" s="823"/>
      <c r="R23" s="9" t="s">
        <v>135</v>
      </c>
      <c r="S23" s="9">
        <v>3.5</v>
      </c>
      <c r="T23" s="9">
        <v>7.7</v>
      </c>
      <c r="U23" s="9">
        <v>3.5</v>
      </c>
      <c r="V23" s="9">
        <v>3.0680000000000001</v>
      </c>
      <c r="W23" s="9">
        <v>1.5475485411583343E-2</v>
      </c>
      <c r="X23" s="9">
        <v>5.13379000163246E-2</v>
      </c>
      <c r="Y23" s="9">
        <v>9.1436433612945879E-3</v>
      </c>
    </row>
    <row r="24" spans="1:25" ht="27.75" customHeight="1">
      <c r="A24" s="357" t="s">
        <v>534</v>
      </c>
      <c r="B24" s="358" t="s">
        <v>536</v>
      </c>
      <c r="C24" s="35"/>
      <c r="D24" s="359" t="str">
        <f>"=" &amp;I31&amp; "*" &amp; I25</f>
        <v>=0.7*3500</v>
      </c>
      <c r="E24" s="359">
        <f>I31*I25</f>
        <v>2450</v>
      </c>
      <c r="F24" s="360" t="s">
        <v>537</v>
      </c>
      <c r="G24" s="190"/>
      <c r="H24" s="356" t="s">
        <v>538</v>
      </c>
      <c r="I24" s="822">
        <v>3470</v>
      </c>
      <c r="J24" s="822"/>
      <c r="K24" s="823"/>
      <c r="R24" s="9" t="s">
        <v>328</v>
      </c>
      <c r="S24" s="9">
        <v>2.875</v>
      </c>
      <c r="T24" s="9">
        <v>8.6999999999999993</v>
      </c>
      <c r="U24" s="9">
        <v>2.875</v>
      </c>
      <c r="V24" s="9">
        <v>2.2589999999999999</v>
      </c>
      <c r="W24" s="9">
        <v>1.7249001730997367E-2</v>
      </c>
      <c r="X24" s="9">
        <v>2.7832989201863983E-2</v>
      </c>
      <c r="Y24" s="9">
        <v>4.9572523780614794E-3</v>
      </c>
    </row>
    <row r="25" spans="1:25" ht="27.75" customHeight="1">
      <c r="A25" s="357"/>
      <c r="B25" s="358"/>
      <c r="C25" s="190"/>
      <c r="D25" s="359"/>
      <c r="E25" s="359"/>
      <c r="F25" s="360"/>
      <c r="G25" s="190"/>
      <c r="H25" s="356" t="s">
        <v>539</v>
      </c>
      <c r="I25" s="822">
        <v>3500</v>
      </c>
      <c r="J25" s="822"/>
      <c r="K25" s="823"/>
      <c r="R25" s="9" t="s">
        <v>329</v>
      </c>
      <c r="S25" s="9">
        <v>2.875</v>
      </c>
      <c r="T25" s="9">
        <v>7.9</v>
      </c>
      <c r="U25" s="9">
        <v>2.875</v>
      </c>
      <c r="V25" s="9">
        <v>2.323</v>
      </c>
      <c r="W25" s="9">
        <v>1.564958200446976E-2</v>
      </c>
      <c r="X25" s="9">
        <v>2.9432408928391586E-2</v>
      </c>
      <c r="Y25" s="9">
        <v>5.24212035200933E-3</v>
      </c>
    </row>
    <row r="26" spans="1:25" ht="27.75" customHeight="1">
      <c r="A26" s="814" t="s">
        <v>541</v>
      </c>
      <c r="B26" s="815"/>
      <c r="C26" s="355"/>
      <c r="D26" s="816" t="s">
        <v>541</v>
      </c>
      <c r="E26" s="816"/>
      <c r="F26" s="816"/>
      <c r="G26" s="190"/>
      <c r="H26" s="356" t="s">
        <v>542</v>
      </c>
      <c r="I26" s="822">
        <v>2</v>
      </c>
      <c r="J26" s="822"/>
      <c r="K26" s="823"/>
      <c r="R26" s="9" t="s">
        <v>136</v>
      </c>
      <c r="S26" s="9">
        <v>2.875</v>
      </c>
      <c r="T26" s="9">
        <v>6.5</v>
      </c>
      <c r="U26" s="9">
        <v>2.875</v>
      </c>
      <c r="V26" s="9">
        <v>2.4409999999999998</v>
      </c>
      <c r="W26" s="9">
        <v>1.2583518474260027E-2</v>
      </c>
      <c r="X26" s="9">
        <v>3.2498472458601324E-2</v>
      </c>
      <c r="Y26" s="9">
        <v>5.7882079682615543E-3</v>
      </c>
    </row>
    <row r="27" spans="1:25" ht="27.75" customHeight="1">
      <c r="A27" s="357" t="s">
        <v>566</v>
      </c>
      <c r="B27" s="358" t="s">
        <v>567</v>
      </c>
      <c r="C27" s="35"/>
      <c r="D27" s="359" t="str">
        <f>"=.052*" &amp; I23 &amp; "*" &amp; I25</f>
        <v>=.052*14*3500</v>
      </c>
      <c r="E27" s="359">
        <f>ROUND(0.052*I23*I25,0)</f>
        <v>2548</v>
      </c>
      <c r="F27" s="360" t="s">
        <v>568</v>
      </c>
      <c r="G27" s="190"/>
      <c r="H27" s="356" t="s">
        <v>546</v>
      </c>
      <c r="I27" s="822" t="s">
        <v>547</v>
      </c>
      <c r="J27" s="822"/>
      <c r="K27" s="823"/>
      <c r="R27" s="9" t="s">
        <v>512</v>
      </c>
      <c r="S27" s="9">
        <v>2.375</v>
      </c>
      <c r="T27" s="9">
        <v>4.7</v>
      </c>
      <c r="U27" s="9">
        <v>2.375</v>
      </c>
      <c r="V27" s="9">
        <v>1.9950000000000001</v>
      </c>
      <c r="W27" s="9">
        <v>9.0571679870680693E-3</v>
      </c>
      <c r="X27" s="9">
        <v>2.1707668925527286E-2</v>
      </c>
      <c r="Y27" s="9">
        <v>3.8662894819804232E-3</v>
      </c>
    </row>
    <row r="28" spans="1:25" ht="27.75" customHeight="1">
      <c r="A28" s="363"/>
      <c r="B28" s="364"/>
      <c r="C28" s="35"/>
      <c r="D28" s="359"/>
      <c r="E28" s="359"/>
      <c r="F28" s="35"/>
      <c r="G28" s="190"/>
      <c r="H28" s="367" t="s">
        <v>569</v>
      </c>
      <c r="I28" s="812">
        <f>VLOOKUP(I27,$R$8:$T$10,3,FALSE)</f>
        <v>2.1708032217796776E-2</v>
      </c>
      <c r="J28" s="812"/>
      <c r="K28" s="813"/>
      <c r="R28" s="9" t="s">
        <v>626</v>
      </c>
      <c r="S28" s="9">
        <v>2.0625</v>
      </c>
      <c r="T28" s="9">
        <v>3.25</v>
      </c>
      <c r="U28" s="9">
        <v>2.0630000000000002</v>
      </c>
      <c r="V28" s="9">
        <v>1.7509999999999999</v>
      </c>
      <c r="W28" s="9">
        <v>6.4902686229287212E-3</v>
      </c>
      <c r="X28" s="9">
        <v>1.672244134982458E-2</v>
      </c>
      <c r="Y28" s="9">
        <v>2.9783851654302316E-3</v>
      </c>
    </row>
    <row r="29" spans="1:25" ht="27.75" customHeight="1">
      <c r="A29" s="814" t="str">
        <f>"Friction Pressure Calcuations @ "&amp;I26&amp; " BPM in " &amp;I27&amp; " tubing"</f>
        <v>Friction Pressure Calcuations @ 2 BPM in 2.375" tubing</v>
      </c>
      <c r="B29" s="815"/>
      <c r="C29" s="355"/>
      <c r="D29" s="816" t="str">
        <f>"Friction Pressure Calcuations @ "&amp;I26&amp; " BPM in " &amp;I27&amp; " tubing"</f>
        <v>Friction Pressure Calcuations @ 2 BPM in 2.375" tubing</v>
      </c>
      <c r="E29" s="816"/>
      <c r="F29" s="816"/>
      <c r="G29" s="190"/>
      <c r="H29" s="356" t="s">
        <v>570</v>
      </c>
      <c r="I29" s="812">
        <f>IF(I27=I34,VLOOKUP(I26,H34:K40,2),IF(I27=J34,VLOOKUP(I26,H34:K40,3),VLOOKUP(I26,H34:K40,4)))</f>
        <v>0.216</v>
      </c>
      <c r="J29" s="812"/>
      <c r="K29" s="813"/>
      <c r="R29" s="9" t="s">
        <v>628</v>
      </c>
      <c r="S29" s="9">
        <v>1.9</v>
      </c>
      <c r="T29" s="9">
        <v>2.75</v>
      </c>
      <c r="U29" s="9">
        <v>1.9</v>
      </c>
      <c r="V29" s="9">
        <v>1.61</v>
      </c>
      <c r="W29" s="9">
        <v>1E-3</v>
      </c>
      <c r="X29" s="9">
        <v>2.5200000000000001E-3</v>
      </c>
      <c r="Y29" s="9">
        <v>4.4882983649770241E-4</v>
      </c>
    </row>
    <row r="30" spans="1:25" ht="27.75" customHeight="1">
      <c r="A30" s="357" t="s">
        <v>552</v>
      </c>
      <c r="B30" s="358" t="s">
        <v>553</v>
      </c>
      <c r="C30" s="35"/>
      <c r="D30" s="359" t="str">
        <f>"=" &amp; I29 &amp; "*" &amp; I24</f>
        <v>=0.216*3470</v>
      </c>
      <c r="E30" s="359">
        <f>ROUNDUP(I29*I24,0)</f>
        <v>750</v>
      </c>
      <c r="F30" s="360" t="s">
        <v>571</v>
      </c>
      <c r="G30" s="190"/>
      <c r="H30" s="367" t="s">
        <v>551</v>
      </c>
      <c r="I30" s="822" t="s">
        <v>550</v>
      </c>
      <c r="J30" s="822"/>
      <c r="K30" s="823"/>
      <c r="R30" s="9" t="s">
        <v>627</v>
      </c>
      <c r="S30" s="9">
        <v>1.66</v>
      </c>
      <c r="T30" s="9">
        <v>2.2999999999999998</v>
      </c>
      <c r="U30" s="9">
        <v>1.66</v>
      </c>
      <c r="V30" s="9">
        <v>1.38</v>
      </c>
      <c r="W30" s="9">
        <v>4.6425758103049181E-3</v>
      </c>
      <c r="X30" s="9">
        <v>1.0386890710931251E-2</v>
      </c>
      <c r="Y30" s="9">
        <v>1.8499787537725307E-3</v>
      </c>
    </row>
    <row r="31" spans="1:25" ht="27.75" customHeight="1">
      <c r="A31" s="368"/>
      <c r="B31" s="352"/>
      <c r="C31" s="190"/>
      <c r="D31" s="352"/>
      <c r="E31" s="190"/>
      <c r="F31" s="190"/>
      <c r="G31" s="190"/>
      <c r="H31" s="356" t="s">
        <v>555</v>
      </c>
      <c r="I31" s="812">
        <f>VLOOKUP(I30,R3:S5,2,FALSE)</f>
        <v>0.7</v>
      </c>
      <c r="J31" s="812"/>
      <c r="K31" s="813"/>
    </row>
    <row r="32" spans="1:25" ht="27.75" customHeight="1" thickBot="1">
      <c r="A32" s="814" t="str">
        <f>"Max Surface Pressures @ " &amp;I26&amp; " BPM"</f>
        <v>Max Surface Pressures @ 2 BPM</v>
      </c>
      <c r="B32" s="815"/>
      <c r="C32" s="355"/>
      <c r="D32" s="816" t="str">
        <f>"Max Surface Pressures @ " &amp;I26&amp; " BPM"</f>
        <v>Max Surface Pressures @ 2 BPM</v>
      </c>
      <c r="E32" s="816"/>
      <c r="F32" s="816"/>
      <c r="G32" s="190"/>
      <c r="H32" s="812" t="s">
        <v>573</v>
      </c>
      <c r="I32" s="812"/>
      <c r="J32" s="812"/>
      <c r="K32" s="813"/>
      <c r="L32" s="369"/>
    </row>
    <row r="33" spans="1:19" ht="33" customHeight="1" thickBot="1">
      <c r="A33" s="357" t="s">
        <v>574</v>
      </c>
      <c r="B33" s="358" t="s">
        <v>575</v>
      </c>
      <c r="C33" s="35"/>
      <c r="D33" s="359" t="str">
        <f>"=" &amp;E24&amp; "-" &amp; E27 &amp; "+" &amp; E30</f>
        <v>=2450-2548+750</v>
      </c>
      <c r="E33" s="370">
        <f>E24-E27+E30</f>
        <v>652</v>
      </c>
      <c r="F33" s="360" t="s">
        <v>576</v>
      </c>
      <c r="G33" s="190"/>
      <c r="H33" s="356" t="s">
        <v>542</v>
      </c>
      <c r="I33" s="817" t="s">
        <v>557</v>
      </c>
      <c r="J33" s="817"/>
      <c r="K33" s="818"/>
    </row>
    <row r="34" spans="1:19" ht="27.75" customHeight="1" thickBot="1">
      <c r="A34" s="368"/>
      <c r="B34" s="352"/>
      <c r="C34" s="190"/>
      <c r="D34" s="819" t="str">
        <f>"Max Pressure is when tubing has FULL column cement at "&amp;I26&amp;" BPM"</f>
        <v>Max Pressure is when tubing has FULL column cement at 2 BPM</v>
      </c>
      <c r="E34" s="820"/>
      <c r="F34" s="821"/>
      <c r="G34" s="190"/>
      <c r="H34" s="371"/>
      <c r="I34" s="372" t="s">
        <v>561</v>
      </c>
      <c r="J34" s="372" t="s">
        <v>547</v>
      </c>
      <c r="K34" s="373" t="s">
        <v>562</v>
      </c>
      <c r="L34" s="375"/>
    </row>
    <row r="35" spans="1:19" ht="27.75" customHeight="1">
      <c r="A35" s="368"/>
      <c r="B35" s="352"/>
      <c r="C35" s="35"/>
      <c r="D35" s="352"/>
      <c r="E35" s="190"/>
      <c r="F35" s="203"/>
      <c r="G35" s="190"/>
      <c r="H35" s="356">
        <v>1</v>
      </c>
      <c r="I35" s="356">
        <f>177/1000</f>
        <v>0.17699999999999999</v>
      </c>
      <c r="J35" s="356">
        <f>146/1000</f>
        <v>0.14599999999999999</v>
      </c>
      <c r="K35" s="374">
        <f>70/1000</f>
        <v>7.0000000000000007E-2</v>
      </c>
    </row>
    <row r="36" spans="1:19" ht="27.75" customHeight="1">
      <c r="A36" s="368"/>
      <c r="B36" s="352"/>
      <c r="C36" s="190"/>
      <c r="D36" s="809" t="s">
        <v>577</v>
      </c>
      <c r="E36" s="386">
        <f>E24-S44+S46</f>
        <v>1103.97</v>
      </c>
      <c r="F36" s="387" t="s">
        <v>578</v>
      </c>
      <c r="G36" s="190"/>
      <c r="H36" s="356">
        <v>1.5</v>
      </c>
      <c r="I36" s="356">
        <f>(I35+I37)/2</f>
        <v>0.23599999999999999</v>
      </c>
      <c r="J36" s="356">
        <f>(J35+J37)/2</f>
        <v>0.18099999999999999</v>
      </c>
      <c r="K36" s="374">
        <f>(K35+K37)/2</f>
        <v>8.7499999999999994E-2</v>
      </c>
    </row>
    <row r="37" spans="1:19" ht="27.75" customHeight="1">
      <c r="A37" s="363"/>
      <c r="B37" s="364"/>
      <c r="C37" s="35"/>
      <c r="D37" s="810"/>
      <c r="E37" s="386">
        <f>E24-S48-S51-S53+S49+S52</f>
        <v>882.16760000000011</v>
      </c>
      <c r="F37" s="387" t="str">
        <f>"psi - Max Pressure with cement halfway to retainer - "&amp;S57&amp; " bbls"</f>
        <v>psi - Max Pressure with cement halfway to retainer - 37.7 bbls</v>
      </c>
      <c r="G37" s="190"/>
      <c r="H37" s="356">
        <v>2</v>
      </c>
      <c r="I37" s="356">
        <f>295/1000</f>
        <v>0.29499999999999998</v>
      </c>
      <c r="J37" s="356">
        <f>216/1000</f>
        <v>0.216</v>
      </c>
      <c r="K37" s="374">
        <f>105/1000</f>
        <v>0.105</v>
      </c>
    </row>
    <row r="38" spans="1:19" ht="27.75" customHeight="1">
      <c r="A38" s="363"/>
      <c r="B38" s="364"/>
      <c r="C38" s="35"/>
      <c r="D38" s="811"/>
      <c r="E38" s="386">
        <f>E33</f>
        <v>652</v>
      </c>
      <c r="F38" s="387" t="s">
        <v>579</v>
      </c>
      <c r="G38" s="190"/>
      <c r="H38" s="356">
        <v>2.5</v>
      </c>
      <c r="I38" s="356">
        <f>(I37+I39)/2</f>
        <v>0.56850000000000001</v>
      </c>
      <c r="J38" s="356">
        <f>(J37+J39)/2</f>
        <v>0.30399999999999999</v>
      </c>
      <c r="K38" s="374">
        <f>(K37+K39)/2</f>
        <v>0.1205</v>
      </c>
    </row>
    <row r="39" spans="1:19" ht="27.75" customHeight="1">
      <c r="A39" s="363"/>
      <c r="B39" s="364"/>
      <c r="C39" s="35"/>
      <c r="D39" s="359"/>
      <c r="E39" s="359"/>
      <c r="F39" s="388"/>
      <c r="G39" s="190"/>
      <c r="H39" s="356">
        <v>3</v>
      </c>
      <c r="I39" s="356">
        <f>842/1000</f>
        <v>0.84199999999999997</v>
      </c>
      <c r="J39" s="356">
        <f>392/1000</f>
        <v>0.39200000000000002</v>
      </c>
      <c r="K39" s="374">
        <f>136/1000</f>
        <v>0.13600000000000001</v>
      </c>
    </row>
    <row r="40" spans="1:19" ht="27.75" customHeight="1" thickBot="1">
      <c r="A40" s="376"/>
      <c r="B40" s="377"/>
      <c r="C40" s="378"/>
      <c r="D40" s="379"/>
      <c r="E40" s="379"/>
      <c r="F40" s="379"/>
      <c r="G40" s="380"/>
      <c r="H40" s="381">
        <v>6</v>
      </c>
      <c r="I40" s="381">
        <f>2746/1000</f>
        <v>2.746</v>
      </c>
      <c r="J40" s="381">
        <f>1460/1000</f>
        <v>1.46</v>
      </c>
      <c r="K40" s="382">
        <f>592/1000</f>
        <v>0.59199999999999997</v>
      </c>
    </row>
    <row r="42" spans="1:19">
      <c r="M42" s="450"/>
      <c r="O42" s="412"/>
      <c r="Q42" s="408"/>
    </row>
    <row r="43" spans="1:19">
      <c r="M43" s="451"/>
      <c r="O43" s="412"/>
      <c r="R43" s="354" t="s">
        <v>608</v>
      </c>
      <c r="S43" s="9">
        <v>2000</v>
      </c>
    </row>
    <row r="44" spans="1:19">
      <c r="M44" s="452"/>
      <c r="O44" s="412"/>
      <c r="R44" s="9" t="s">
        <v>580</v>
      </c>
      <c r="S44" s="9">
        <f>0.052*8.33*I25</f>
        <v>1516.06</v>
      </c>
    </row>
    <row r="45" spans="1:19">
      <c r="O45" s="412"/>
      <c r="R45" s="9" t="s">
        <v>581</v>
      </c>
      <c r="S45" s="9">
        <f>IF(I27=I13,VLOOKUP(I26,H13:L19,2),IF(I27=J13,VLOOKUP(I26,H13:K19,3),VLOOKUP(I26,H13:K19,4)))</f>
        <v>4.9000000000000002E-2</v>
      </c>
    </row>
    <row r="46" spans="1:19">
      <c r="M46" s="428" t="s">
        <v>665</v>
      </c>
      <c r="N46" s="444"/>
      <c r="O46" s="445">
        <v>0.25</v>
      </c>
      <c r="P46" s="446"/>
      <c r="R46" s="9" t="s">
        <v>582</v>
      </c>
      <c r="S46" s="9">
        <f>S45*I24</f>
        <v>170.03</v>
      </c>
    </row>
    <row r="47" spans="1:19">
      <c r="M47" s="415"/>
      <c r="N47" s="396" t="s">
        <v>565</v>
      </c>
      <c r="O47" s="396" t="s">
        <v>610</v>
      </c>
      <c r="P47" s="396" t="s">
        <v>609</v>
      </c>
    </row>
    <row r="48" spans="1:19">
      <c r="M48" s="417" t="s">
        <v>622</v>
      </c>
      <c r="N48" s="449">
        <v>4.1399999999999997</v>
      </c>
      <c r="O48" s="447">
        <f>ROUND(N48*5.6146,2)</f>
        <v>23.24</v>
      </c>
      <c r="P48" s="447">
        <f>O48/N58</f>
        <v>14.993548387096773</v>
      </c>
      <c r="Q48" s="408"/>
      <c r="R48" s="9" t="s">
        <v>583</v>
      </c>
      <c r="S48" s="9">
        <f>I24/2*0.052*I23</f>
        <v>1263.08</v>
      </c>
    </row>
    <row r="49" spans="1:19">
      <c r="D49" s="25" t="s">
        <v>655</v>
      </c>
      <c r="M49" s="417" t="s">
        <v>623</v>
      </c>
      <c r="N49" s="449">
        <v>12.466000000000019</v>
      </c>
      <c r="O49" s="447">
        <f>N49*5.6146</f>
        <v>69.991603600000104</v>
      </c>
      <c r="P49" s="447"/>
      <c r="R49" s="9" t="s">
        <v>584</v>
      </c>
      <c r="S49" s="9">
        <f>I24/2*I29</f>
        <v>374.76</v>
      </c>
    </row>
    <row r="50" spans="1:19">
      <c r="D50" s="409">
        <f>ROUND(MIN(D53:D570),0)</f>
        <v>967</v>
      </c>
      <c r="M50" s="415" t="s">
        <v>624</v>
      </c>
      <c r="N50" s="448">
        <f>N48+N49</f>
        <v>16.606000000000019</v>
      </c>
      <c r="O50" s="448">
        <f>O48+O49</f>
        <v>93.231603600000099</v>
      </c>
      <c r="P50" s="448"/>
    </row>
    <row r="51" spans="1:19">
      <c r="M51" s="805" t="s">
        <v>643</v>
      </c>
      <c r="N51" s="806"/>
      <c r="R51" s="9" t="s">
        <v>585</v>
      </c>
      <c r="S51" s="9">
        <f>I24/2*0.052*8.33</f>
        <v>751.5326</v>
      </c>
    </row>
    <row r="52" spans="1:19">
      <c r="A52" s="25" t="s">
        <v>664</v>
      </c>
      <c r="B52" s="25" t="s">
        <v>653</v>
      </c>
      <c r="C52" s="25" t="s">
        <v>654</v>
      </c>
      <c r="D52" s="25" t="s">
        <v>655</v>
      </c>
      <c r="E52" s="25" t="s">
        <v>656</v>
      </c>
      <c r="F52" s="25" t="s">
        <v>657</v>
      </c>
      <c r="G52" s="25" t="s">
        <v>658</v>
      </c>
      <c r="H52" s="25" t="s">
        <v>659</v>
      </c>
      <c r="I52" s="25" t="s">
        <v>660</v>
      </c>
      <c r="M52" s="428" t="s">
        <v>288</v>
      </c>
      <c r="N52" s="429" t="s">
        <v>550</v>
      </c>
      <c r="R52" s="9" t="s">
        <v>586</v>
      </c>
      <c r="S52" s="9">
        <f>S45*I24/2</f>
        <v>85.015000000000001</v>
      </c>
    </row>
    <row r="53" spans="1:19">
      <c r="A53" s="411">
        <v>0</v>
      </c>
      <c r="B53" s="411">
        <v>0</v>
      </c>
      <c r="C53" s="411">
        <v>0</v>
      </c>
      <c r="D53" s="409">
        <v>1103.97</v>
      </c>
      <c r="E53" s="443">
        <v>0</v>
      </c>
      <c r="F53" s="443">
        <v>0</v>
      </c>
      <c r="G53" s="411">
        <v>0</v>
      </c>
      <c r="H53" s="411">
        <v>0</v>
      </c>
      <c r="I53" s="411">
        <v>0</v>
      </c>
      <c r="M53" s="416" t="s">
        <v>613</v>
      </c>
      <c r="N53" s="430" t="s">
        <v>547</v>
      </c>
      <c r="R53" s="9" t="s">
        <v>587</v>
      </c>
      <c r="S53" s="9">
        <f>(I25-I24)*0.052*8.33</f>
        <v>12.994799999999998</v>
      </c>
    </row>
    <row r="54" spans="1:19">
      <c r="A54" s="411">
        <v>0.25</v>
      </c>
      <c r="B54" s="411">
        <v>0.25</v>
      </c>
      <c r="C54" s="411">
        <v>0</v>
      </c>
      <c r="D54" s="409">
        <v>1095.7253098224505</v>
      </c>
      <c r="E54" s="443">
        <v>64.492257333773708</v>
      </c>
      <c r="F54" s="443">
        <v>0</v>
      </c>
      <c r="G54" s="411">
        <v>0</v>
      </c>
      <c r="H54" s="411">
        <v>0</v>
      </c>
      <c r="I54" s="411">
        <v>0</v>
      </c>
      <c r="M54" s="415" t="s">
        <v>631</v>
      </c>
      <c r="N54" s="437" t="s">
        <v>131</v>
      </c>
    </row>
    <row r="55" spans="1:19">
      <c r="A55" s="411">
        <v>0.5</v>
      </c>
      <c r="B55" s="411">
        <v>0.5</v>
      </c>
      <c r="C55" s="411">
        <v>0</v>
      </c>
      <c r="D55" s="409">
        <v>1087.4217290007757</v>
      </c>
      <c r="E55" s="443">
        <v>129.44517364850293</v>
      </c>
      <c r="F55" s="443">
        <v>0</v>
      </c>
      <c r="G55" s="411">
        <v>0</v>
      </c>
      <c r="H55" s="411">
        <v>0</v>
      </c>
      <c r="I55" s="411">
        <v>0</v>
      </c>
      <c r="M55" s="416" t="s">
        <v>589</v>
      </c>
      <c r="N55" s="432">
        <v>2</v>
      </c>
    </row>
    <row r="56" spans="1:19">
      <c r="A56" s="411">
        <v>0.75</v>
      </c>
      <c r="B56" s="411">
        <v>0.75</v>
      </c>
      <c r="C56" s="411">
        <v>0</v>
      </c>
      <c r="D56" s="409">
        <v>1079.1770388232258</v>
      </c>
      <c r="E56" s="443">
        <v>193.93743098227665</v>
      </c>
      <c r="F56" s="443">
        <v>0</v>
      </c>
      <c r="G56" s="411">
        <v>0</v>
      </c>
      <c r="H56" s="411">
        <v>0</v>
      </c>
      <c r="I56" s="411">
        <v>0</v>
      </c>
      <c r="M56" s="417" t="s">
        <v>614</v>
      </c>
      <c r="N56" s="433">
        <v>15</v>
      </c>
      <c r="R56" s="9" t="s">
        <v>588</v>
      </c>
      <c r="S56" s="9">
        <f>I24/2*I28</f>
        <v>37.663435897877406</v>
      </c>
    </row>
    <row r="57" spans="1:19">
      <c r="A57" s="411">
        <v>1</v>
      </c>
      <c r="B57" s="411">
        <v>1</v>
      </c>
      <c r="C57" s="411">
        <v>0</v>
      </c>
      <c r="D57" s="409">
        <v>1070.9323486456765</v>
      </c>
      <c r="E57" s="443">
        <v>258.42968831605037</v>
      </c>
      <c r="F57" s="443">
        <v>0</v>
      </c>
      <c r="G57" s="411">
        <v>0</v>
      </c>
      <c r="H57" s="411">
        <v>0</v>
      </c>
      <c r="I57" s="411">
        <v>0</v>
      </c>
      <c r="M57" s="441" t="s">
        <v>661</v>
      </c>
      <c r="N57" s="433">
        <v>1</v>
      </c>
      <c r="S57" s="9">
        <f>ROUND(S56,1)</f>
        <v>37.700000000000003</v>
      </c>
    </row>
    <row r="58" spans="1:19">
      <c r="A58" s="411">
        <v>1.25</v>
      </c>
      <c r="B58" s="411">
        <v>1.25</v>
      </c>
      <c r="C58" s="411">
        <v>0</v>
      </c>
      <c r="D58" s="409">
        <v>1062.6287678240014</v>
      </c>
      <c r="E58" s="443">
        <v>323.38260463077955</v>
      </c>
      <c r="F58" s="443">
        <v>0</v>
      </c>
      <c r="G58" s="411">
        <v>0</v>
      </c>
      <c r="H58" s="411">
        <v>0</v>
      </c>
      <c r="I58" s="411">
        <v>0</v>
      </c>
      <c r="M58" s="416" t="s">
        <v>615</v>
      </c>
      <c r="N58" s="432">
        <v>1.55</v>
      </c>
    </row>
    <row r="59" spans="1:19">
      <c r="A59" s="411">
        <v>1.5</v>
      </c>
      <c r="B59" s="411">
        <v>1.5</v>
      </c>
      <c r="C59" s="411">
        <v>0</v>
      </c>
      <c r="D59" s="409">
        <v>1054.3840776464519</v>
      </c>
      <c r="E59" s="443">
        <v>387.8748619645533</v>
      </c>
      <c r="F59" s="443">
        <v>0</v>
      </c>
      <c r="G59" s="411">
        <v>0</v>
      </c>
      <c r="H59" s="411">
        <v>0</v>
      </c>
      <c r="I59" s="411">
        <v>0</v>
      </c>
      <c r="M59" s="415" t="s">
        <v>509</v>
      </c>
      <c r="N59" s="431">
        <v>14</v>
      </c>
    </row>
    <row r="60" spans="1:19">
      <c r="A60" s="411">
        <v>1.75</v>
      </c>
      <c r="B60" s="411">
        <v>1.75</v>
      </c>
      <c r="C60" s="411">
        <v>0</v>
      </c>
      <c r="D60" s="409">
        <v>1046.0804968247762</v>
      </c>
      <c r="E60" s="443">
        <v>452.82777827928254</v>
      </c>
      <c r="F60" s="443">
        <v>0</v>
      </c>
      <c r="G60" s="411">
        <v>0</v>
      </c>
      <c r="H60" s="411">
        <v>0</v>
      </c>
      <c r="I60" s="411">
        <v>0</v>
      </c>
      <c r="M60" s="416" t="s">
        <v>662</v>
      </c>
      <c r="N60" s="432">
        <v>3470</v>
      </c>
    </row>
    <row r="61" spans="1:19">
      <c r="A61" s="411">
        <v>2</v>
      </c>
      <c r="B61" s="411">
        <v>2</v>
      </c>
      <c r="C61" s="411">
        <v>0</v>
      </c>
      <c r="D61" s="409">
        <v>1037.8358066472269</v>
      </c>
      <c r="E61" s="443">
        <v>517.32003561305623</v>
      </c>
      <c r="F61" s="443">
        <v>0</v>
      </c>
      <c r="G61" s="411">
        <v>0</v>
      </c>
      <c r="H61" s="411">
        <v>0</v>
      </c>
      <c r="I61" s="411">
        <v>0</v>
      </c>
      <c r="M61" s="415" t="s">
        <v>663</v>
      </c>
      <c r="N61" s="431">
        <v>3500</v>
      </c>
    </row>
    <row r="62" spans="1:19">
      <c r="A62" s="411">
        <v>2.25</v>
      </c>
      <c r="B62" s="411">
        <v>2.25</v>
      </c>
      <c r="C62" s="411">
        <v>0</v>
      </c>
      <c r="D62" s="409">
        <v>1029.5911164696772</v>
      </c>
      <c r="E62" s="443">
        <v>581.81229294682998</v>
      </c>
      <c r="F62" s="443">
        <v>0</v>
      </c>
      <c r="G62" s="411">
        <v>0</v>
      </c>
      <c r="H62" s="411">
        <v>0</v>
      </c>
      <c r="I62" s="411">
        <v>0</v>
      </c>
      <c r="M62" s="807" t="s">
        <v>644</v>
      </c>
      <c r="N62" s="808"/>
    </row>
    <row r="63" spans="1:19">
      <c r="A63" s="411">
        <v>2.5</v>
      </c>
      <c r="B63" s="411">
        <v>2.5</v>
      </c>
      <c r="C63" s="411">
        <v>0</v>
      </c>
      <c r="D63" s="409">
        <v>1021.2875356480021</v>
      </c>
      <c r="E63" s="443">
        <v>646.76520926155911</v>
      </c>
      <c r="F63" s="443">
        <v>0</v>
      </c>
      <c r="G63" s="411">
        <v>0</v>
      </c>
      <c r="H63" s="411">
        <v>0</v>
      </c>
      <c r="I63" s="411">
        <v>0</v>
      </c>
      <c r="M63" s="416" t="s">
        <v>616</v>
      </c>
      <c r="N63" s="423">
        <f>ROUND(N56*N58,2)</f>
        <v>23.25</v>
      </c>
    </row>
    <row r="64" spans="1:19">
      <c r="A64" s="411">
        <v>2.75</v>
      </c>
      <c r="B64" s="411">
        <v>2.75</v>
      </c>
      <c r="C64" s="411">
        <v>0</v>
      </c>
      <c r="D64" s="409">
        <v>1013.0428454704527</v>
      </c>
      <c r="E64" s="443">
        <v>711.25746659533286</v>
      </c>
      <c r="F64" s="443">
        <v>0</v>
      </c>
      <c r="G64" s="411">
        <v>0</v>
      </c>
      <c r="H64" s="411">
        <v>0</v>
      </c>
      <c r="I64" s="411">
        <v>0</v>
      </c>
      <c r="M64" s="415" t="s">
        <v>652</v>
      </c>
      <c r="N64" s="434">
        <f>ROUND(N63/5.6146,2)</f>
        <v>4.1399999999999997</v>
      </c>
    </row>
    <row r="65" spans="1:15">
      <c r="A65" s="411">
        <v>3</v>
      </c>
      <c r="B65" s="411">
        <v>3</v>
      </c>
      <c r="C65" s="411">
        <v>0</v>
      </c>
      <c r="D65" s="409">
        <v>1004.7981552929029</v>
      </c>
      <c r="E65" s="443">
        <v>775.74972392910661</v>
      </c>
      <c r="F65" s="443">
        <v>0</v>
      </c>
      <c r="G65" s="411">
        <v>0</v>
      </c>
      <c r="H65" s="411">
        <v>0</v>
      </c>
      <c r="I65" s="411">
        <v>0</v>
      </c>
      <c r="M65" s="413" t="s">
        <v>617</v>
      </c>
      <c r="N65" s="435">
        <f>VLOOKUP(N53,$R$8:$U$10,3,0)</f>
        <v>2.1708032217796776E-2</v>
      </c>
    </row>
    <row r="66" spans="1:15">
      <c r="A66" s="411">
        <v>3.25</v>
      </c>
      <c r="B66" s="411">
        <v>3.25</v>
      </c>
      <c r="C66" s="411">
        <v>0</v>
      </c>
      <c r="D66" s="409">
        <v>996.49457447122791</v>
      </c>
      <c r="E66" s="443">
        <v>840.70264024383584</v>
      </c>
      <c r="F66" s="443">
        <v>0</v>
      </c>
      <c r="G66" s="411">
        <v>0</v>
      </c>
      <c r="H66" s="411">
        <v>0</v>
      </c>
      <c r="I66" s="411">
        <v>0</v>
      </c>
      <c r="M66" s="427" t="s">
        <v>618</v>
      </c>
      <c r="N66" s="436">
        <f>VLOOKUP(N54,$R$13:$Y$30,7,0)</f>
        <v>8.7266462599716474E-2</v>
      </c>
    </row>
    <row r="67" spans="1:15">
      <c r="A67" s="411">
        <v>3.5</v>
      </c>
      <c r="B67" s="411">
        <v>3.5</v>
      </c>
      <c r="C67" s="411">
        <v>0</v>
      </c>
      <c r="D67" s="409">
        <v>988.24988429367818</v>
      </c>
      <c r="E67" s="443">
        <v>905.19489757760948</v>
      </c>
      <c r="F67" s="443">
        <v>0</v>
      </c>
      <c r="G67" s="411">
        <v>0</v>
      </c>
      <c r="H67" s="411">
        <v>0</v>
      </c>
      <c r="I67" s="411">
        <v>0</v>
      </c>
      <c r="M67" s="416" t="s">
        <v>620</v>
      </c>
      <c r="N67" s="423">
        <f>N60*N65</f>
        <v>75.326871795754812</v>
      </c>
      <c r="O67" s="407"/>
    </row>
    <row r="68" spans="1:15">
      <c r="A68" s="411">
        <v>3.75</v>
      </c>
      <c r="B68" s="411">
        <v>3.75</v>
      </c>
      <c r="C68" s="411">
        <v>0</v>
      </c>
      <c r="D68" s="409">
        <v>980.00519411612879</v>
      </c>
      <c r="E68" s="443">
        <v>969.68715491138323</v>
      </c>
      <c r="F68" s="443">
        <v>0</v>
      </c>
      <c r="G68" s="411">
        <v>0</v>
      </c>
      <c r="H68" s="411">
        <v>0</v>
      </c>
      <c r="I68" s="411">
        <v>0</v>
      </c>
      <c r="M68" s="417" t="s">
        <v>621</v>
      </c>
      <c r="N68" s="424">
        <f>(N61-N60)*N66</f>
        <v>2.6179938779914944</v>
      </c>
      <c r="O68" s="407"/>
    </row>
    <row r="69" spans="1:15">
      <c r="A69" s="411">
        <v>4</v>
      </c>
      <c r="B69" s="411">
        <v>4</v>
      </c>
      <c r="C69" s="411">
        <v>0</v>
      </c>
      <c r="D69" s="409">
        <v>971.70161329445375</v>
      </c>
      <c r="E69" s="443">
        <v>1034.6400712261125</v>
      </c>
      <c r="F69" s="443">
        <v>0</v>
      </c>
      <c r="G69" s="411">
        <v>0</v>
      </c>
      <c r="H69" s="411">
        <v>0</v>
      </c>
      <c r="I69" s="411">
        <v>0</v>
      </c>
      <c r="M69" s="415" t="s">
        <v>619</v>
      </c>
      <c r="N69" s="434">
        <f>N67+N68</f>
        <v>77.944865673746307</v>
      </c>
      <c r="O69" s="407"/>
    </row>
    <row r="70" spans="1:15">
      <c r="A70" s="411">
        <v>4.1399999999999997</v>
      </c>
      <c r="B70" s="411">
        <v>4.1399999999999997</v>
      </c>
      <c r="C70" s="411">
        <v>0</v>
      </c>
      <c r="D70" s="409">
        <v>967.10814305267627</v>
      </c>
      <c r="E70" s="443">
        <v>1070.5714717406433</v>
      </c>
      <c r="F70" s="443">
        <v>0</v>
      </c>
      <c r="G70" s="411">
        <v>0</v>
      </c>
      <c r="H70" s="411">
        <v>0</v>
      </c>
      <c r="I70" s="411">
        <v>0</v>
      </c>
      <c r="M70" s="416" t="s">
        <v>632</v>
      </c>
      <c r="N70" s="423">
        <f>IF(N79&lt;=N60,N79*N65,N60*N65)</f>
        <v>75.326871795754812</v>
      </c>
      <c r="O70" s="25"/>
    </row>
    <row r="71" spans="1:15">
      <c r="A71" s="411">
        <v>4.3899999999999997</v>
      </c>
      <c r="B71" s="411">
        <v>4.1399999999999997</v>
      </c>
      <c r="C71" s="411">
        <v>0.25</v>
      </c>
      <c r="D71" s="409">
        <v>967.10814305267593</v>
      </c>
      <c r="E71" s="443">
        <v>1135.2318696024658</v>
      </c>
      <c r="F71" s="443">
        <v>64.660397861822474</v>
      </c>
      <c r="G71" s="411">
        <v>0</v>
      </c>
      <c r="H71" s="411">
        <v>4.0999999999999996</v>
      </c>
      <c r="I71" s="411">
        <v>15</v>
      </c>
      <c r="M71" s="417" t="s">
        <v>633</v>
      </c>
      <c r="N71" s="424">
        <f>IF(N79&lt;=N60,0,(N79-N60)*N66)</f>
        <v>2.6179938779914944</v>
      </c>
      <c r="O71" s="25"/>
    </row>
    <row r="72" spans="1:15">
      <c r="A72" s="411">
        <v>4.6399999999999997</v>
      </c>
      <c r="B72" s="411">
        <v>4.1399999999999997</v>
      </c>
      <c r="C72" s="411">
        <v>0.5</v>
      </c>
      <c r="D72" s="409">
        <v>967.1081430526765</v>
      </c>
      <c r="E72" s="443">
        <v>1199.8922674642884</v>
      </c>
      <c r="F72" s="443">
        <v>129.32079572364495</v>
      </c>
      <c r="G72" s="411">
        <v>0</v>
      </c>
      <c r="H72" s="411">
        <v>4.0999999999999996</v>
      </c>
      <c r="I72" s="411">
        <v>15</v>
      </c>
      <c r="M72" s="417" t="s">
        <v>634</v>
      </c>
      <c r="N72" s="424">
        <f>N70+N71</f>
        <v>77.944865673746307</v>
      </c>
      <c r="O72" s="25"/>
    </row>
    <row r="73" spans="1:15">
      <c r="A73" s="411">
        <v>4.8899999999999997</v>
      </c>
      <c r="B73" s="411">
        <v>4.1399999999999997</v>
      </c>
      <c r="C73" s="411">
        <v>0.75</v>
      </c>
      <c r="D73" s="409">
        <v>967.10814305267638</v>
      </c>
      <c r="E73" s="443">
        <v>1264.5526653261109</v>
      </c>
      <c r="F73" s="443">
        <v>193.98119358546745</v>
      </c>
      <c r="G73" s="411">
        <v>0</v>
      </c>
      <c r="H73" s="411">
        <v>4.0999999999999996</v>
      </c>
      <c r="I73" s="411">
        <v>15</v>
      </c>
      <c r="M73" s="416" t="s">
        <v>635</v>
      </c>
      <c r="N73" s="423">
        <f>O50-N72</f>
        <v>15.286737926253792</v>
      </c>
      <c r="O73" s="25"/>
    </row>
    <row r="74" spans="1:15">
      <c r="A74" s="411">
        <v>5.14</v>
      </c>
      <c r="B74" s="411">
        <v>4.1399999999999997</v>
      </c>
      <c r="C74" s="411">
        <v>1</v>
      </c>
      <c r="D74" s="409">
        <v>967.10814305267627</v>
      </c>
      <c r="E74" s="443">
        <v>1329.2130631879334</v>
      </c>
      <c r="F74" s="443">
        <v>258.6415914472899</v>
      </c>
      <c r="G74" s="411">
        <v>0</v>
      </c>
      <c r="H74" s="411">
        <v>4.0999999999999996</v>
      </c>
      <c r="I74" s="411">
        <v>15</v>
      </c>
      <c r="M74" s="415" t="s">
        <v>636</v>
      </c>
      <c r="N74" s="425">
        <f>N73/N58</f>
        <v>9.8624115653250275</v>
      </c>
      <c r="O74" s="25"/>
    </row>
    <row r="75" spans="1:15">
      <c r="A75" s="411">
        <v>5.39</v>
      </c>
      <c r="B75" s="411">
        <v>4.1399999999999997</v>
      </c>
      <c r="C75" s="411">
        <v>1.25</v>
      </c>
      <c r="D75" s="409">
        <v>967.10814305267616</v>
      </c>
      <c r="E75" s="443">
        <v>1393.8734610497556</v>
      </c>
      <c r="F75" s="443">
        <v>323.30198930911234</v>
      </c>
      <c r="G75" s="411">
        <v>0</v>
      </c>
      <c r="H75" s="411">
        <v>4.0999999999999996</v>
      </c>
      <c r="I75" s="411">
        <v>15</v>
      </c>
      <c r="M75" s="416" t="s">
        <v>637</v>
      </c>
      <c r="N75" s="423">
        <f>IF(Top_of_Cement_Column__ft&lt;=1,0,IF((N60-N78)*N65&gt;=N63,N63,(N60-N78)*N65))</f>
        <v>5.3352681957547068</v>
      </c>
      <c r="O75" s="25"/>
    </row>
    <row r="76" spans="1:15">
      <c r="A76" s="411">
        <v>5.64</v>
      </c>
      <c r="B76" s="411">
        <v>4.1399999999999997</v>
      </c>
      <c r="C76" s="411">
        <v>1.5</v>
      </c>
      <c r="D76" s="409">
        <v>967.10814305267593</v>
      </c>
      <c r="E76" s="443">
        <v>1458.5338589115784</v>
      </c>
      <c r="F76" s="443">
        <v>387.9623871709349</v>
      </c>
      <c r="G76" s="411">
        <v>0</v>
      </c>
      <c r="H76" s="411">
        <v>4.0999999999999996</v>
      </c>
      <c r="I76" s="411">
        <v>15</v>
      </c>
      <c r="M76" s="417" t="s">
        <v>638</v>
      </c>
      <c r="N76" s="442">
        <f>ROUND(N75/5.6146,1)</f>
        <v>1</v>
      </c>
      <c r="O76" s="25"/>
    </row>
    <row r="77" spans="1:15">
      <c r="A77" s="411">
        <v>5.89</v>
      </c>
      <c r="B77" s="411">
        <v>4.1399999999999997</v>
      </c>
      <c r="C77" s="411">
        <v>1.75</v>
      </c>
      <c r="D77" s="409">
        <v>967.10814305267627</v>
      </c>
      <c r="E77" s="443">
        <v>1523.1942567734009</v>
      </c>
      <c r="F77" s="443">
        <v>452.62278503275729</v>
      </c>
      <c r="G77" s="411">
        <v>0</v>
      </c>
      <c r="H77" s="411">
        <v>4.0999999999999996</v>
      </c>
      <c r="I77" s="411">
        <v>15</v>
      </c>
      <c r="M77" s="415" t="s">
        <v>639</v>
      </c>
      <c r="N77" s="434">
        <f>N75/N58</f>
        <v>3.4421085133901332</v>
      </c>
    </row>
    <row r="78" spans="1:15">
      <c r="A78" s="411">
        <v>6.14</v>
      </c>
      <c r="B78" s="411">
        <v>4.1399999999999997</v>
      </c>
      <c r="C78" s="411">
        <v>2</v>
      </c>
      <c r="D78" s="409">
        <v>967.10814305267604</v>
      </c>
      <c r="E78" s="443">
        <v>1587.8546546352234</v>
      </c>
      <c r="F78" s="443">
        <v>517.2831828945798</v>
      </c>
      <c r="G78" s="411">
        <v>0</v>
      </c>
      <c r="H78" s="411">
        <v>4.0999999999999996</v>
      </c>
      <c r="I78" s="411">
        <v>15</v>
      </c>
      <c r="M78" s="416" t="s">
        <v>640</v>
      </c>
      <c r="N78" s="422">
        <f>IF(O49&lt;=N67,O49/N65,N67/N65+(O49-N67)/N66)</f>
        <v>3224.2260789819206</v>
      </c>
    </row>
    <row r="79" spans="1:15">
      <c r="A79" s="411">
        <v>6.39</v>
      </c>
      <c r="B79" s="411">
        <v>4.1399999999999997</v>
      </c>
      <c r="C79" s="411">
        <v>2.25</v>
      </c>
      <c r="D79" s="409">
        <v>967.10814305267604</v>
      </c>
      <c r="E79" s="443">
        <v>1652.5150524970459</v>
      </c>
      <c r="F79" s="443">
        <v>581.9435807564023</v>
      </c>
      <c r="G79" s="411">
        <v>0</v>
      </c>
      <c r="H79" s="411">
        <v>4.0999999999999996</v>
      </c>
      <c r="I79" s="411">
        <v>15</v>
      </c>
      <c r="M79" s="415" t="s">
        <v>641</v>
      </c>
      <c r="N79" s="426">
        <f>IF(O50&gt;=N67+N68,N61,IF(O50&lt;=N67,O50/N65,N67/N65+(O50-N67)/N66))</f>
        <v>3500</v>
      </c>
    </row>
    <row r="80" spans="1:15">
      <c r="A80" s="411">
        <v>6.64</v>
      </c>
      <c r="B80" s="411">
        <v>4.1399999999999997</v>
      </c>
      <c r="C80" s="411">
        <v>2.5</v>
      </c>
      <c r="D80" s="409">
        <v>967.10814305267593</v>
      </c>
      <c r="E80" s="443">
        <v>1717.1754503588681</v>
      </c>
      <c r="F80" s="443">
        <v>646.60397861822469</v>
      </c>
      <c r="G80" s="411">
        <v>0</v>
      </c>
      <c r="H80" s="411">
        <v>4.0999999999999996</v>
      </c>
      <c r="I80" s="411">
        <v>15</v>
      </c>
      <c r="M80" s="805" t="s">
        <v>642</v>
      </c>
      <c r="N80" s="806"/>
    </row>
    <row r="81" spans="1:14">
      <c r="A81" s="411">
        <v>6.89</v>
      </c>
      <c r="B81" s="411">
        <v>4.1399999999999997</v>
      </c>
      <c r="C81" s="411">
        <v>2.75</v>
      </c>
      <c r="D81" s="409">
        <v>967.1081430526765</v>
      </c>
      <c r="E81" s="443">
        <v>1781.8358482206907</v>
      </c>
      <c r="F81" s="443">
        <v>711.2643764800473</v>
      </c>
      <c r="G81" s="411">
        <v>0</v>
      </c>
      <c r="H81" s="411">
        <v>4.0999999999999996</v>
      </c>
      <c r="I81" s="411">
        <v>15</v>
      </c>
      <c r="M81" s="413" t="s">
        <v>649</v>
      </c>
      <c r="N81" s="414"/>
    </row>
    <row r="82" spans="1:14">
      <c r="A82" s="411">
        <v>7.14</v>
      </c>
      <c r="B82" s="411">
        <v>4.1399999999999997</v>
      </c>
      <c r="C82" s="411">
        <v>3</v>
      </c>
      <c r="D82" s="409">
        <v>967.10814305267638</v>
      </c>
      <c r="E82" s="443">
        <v>1846.4962460825129</v>
      </c>
      <c r="F82" s="443">
        <v>775.92477434186981</v>
      </c>
      <c r="G82" s="411">
        <v>0</v>
      </c>
      <c r="H82" s="411">
        <v>4.0999999999999996</v>
      </c>
      <c r="I82" s="411">
        <v>15</v>
      </c>
      <c r="M82" s="418" t="s">
        <v>645</v>
      </c>
      <c r="N82" s="420">
        <f>N78*0.052*8.33</f>
        <v>1396.6057683718088</v>
      </c>
    </row>
    <row r="83" spans="1:14">
      <c r="A83" s="411">
        <v>7.39</v>
      </c>
      <c r="B83" s="411">
        <v>4.1399999999999997</v>
      </c>
      <c r="C83" s="411">
        <v>3.25</v>
      </c>
      <c r="D83" s="409">
        <v>967.10814305267627</v>
      </c>
      <c r="E83" s="443">
        <v>1911.1566439443354</v>
      </c>
      <c r="F83" s="443">
        <v>840.5851722036922</v>
      </c>
      <c r="G83" s="411">
        <v>0</v>
      </c>
      <c r="H83" s="411">
        <v>4.0999999999999996</v>
      </c>
      <c r="I83" s="411">
        <v>15</v>
      </c>
      <c r="M83" s="419" t="s">
        <v>646</v>
      </c>
      <c r="N83" s="421">
        <f>N78*I8</f>
        <v>157.98707787011412</v>
      </c>
    </row>
    <row r="84" spans="1:14">
      <c r="A84" s="411">
        <v>7.64</v>
      </c>
      <c r="B84" s="411">
        <v>4.1399999999999997</v>
      </c>
      <c r="C84" s="411">
        <v>3.5</v>
      </c>
      <c r="D84" s="409">
        <v>967.10814305267638</v>
      </c>
      <c r="E84" s="443">
        <v>1975.8170418061579</v>
      </c>
      <c r="F84" s="443">
        <v>905.24557006551458</v>
      </c>
      <c r="G84" s="411">
        <v>0</v>
      </c>
      <c r="H84" s="411">
        <v>4.0999999999999996</v>
      </c>
      <c r="I84" s="411">
        <v>15</v>
      </c>
      <c r="M84" s="413" t="s">
        <v>650</v>
      </c>
      <c r="N84" s="422"/>
    </row>
    <row r="85" spans="1:14">
      <c r="A85" s="411">
        <v>7.89</v>
      </c>
      <c r="B85" s="411">
        <v>4.1399999999999997</v>
      </c>
      <c r="C85" s="411">
        <v>3.75</v>
      </c>
      <c r="D85" s="409">
        <v>967.10814305267627</v>
      </c>
      <c r="E85" s="443">
        <v>2040.4774396679807</v>
      </c>
      <c r="F85" s="443">
        <v>969.9059679273372</v>
      </c>
      <c r="G85" s="411">
        <v>0</v>
      </c>
      <c r="H85" s="411">
        <v>4.0999999999999996</v>
      </c>
      <c r="I85" s="411">
        <v>15</v>
      </c>
      <c r="M85" s="418" t="s">
        <v>647</v>
      </c>
      <c r="N85" s="420">
        <f>IF(N78&gt;0,(N79-N78)*0.052*N59,N79*0.052*N59)</f>
        <v>200.76341450116178</v>
      </c>
    </row>
    <row r="86" spans="1:14">
      <c r="A86" s="411">
        <v>8.14</v>
      </c>
      <c r="B86" s="411">
        <v>4.1399999999999997</v>
      </c>
      <c r="C86" s="411">
        <v>4</v>
      </c>
      <c r="D86" s="409">
        <v>967.10814305267616</v>
      </c>
      <c r="E86" s="443">
        <v>2105.1378375298032</v>
      </c>
      <c r="F86" s="443">
        <v>1034.5663657891596</v>
      </c>
      <c r="G86" s="411">
        <v>0</v>
      </c>
      <c r="H86" s="411">
        <v>4.0999999999999996</v>
      </c>
      <c r="I86" s="411">
        <v>15</v>
      </c>
      <c r="M86" s="419" t="s">
        <v>648</v>
      </c>
      <c r="N86" s="421">
        <f>IF(N79&gt;=N60,(N60-N78)*I29,(N79-N78)*I29)</f>
        <v>53.087166939905138</v>
      </c>
    </row>
    <row r="87" spans="1:14">
      <c r="A87" s="411">
        <v>8.39</v>
      </c>
      <c r="B87" s="411">
        <v>4.1399999999999997</v>
      </c>
      <c r="C87" s="411">
        <v>4.25</v>
      </c>
      <c r="D87" s="409">
        <v>967.1081430526765</v>
      </c>
      <c r="E87" s="443">
        <v>2169.7982353916254</v>
      </c>
      <c r="F87" s="443">
        <v>1099.2267636509821</v>
      </c>
      <c r="G87" s="411">
        <v>0</v>
      </c>
      <c r="H87" s="411">
        <v>4.0999999999999996</v>
      </c>
      <c r="I87" s="411">
        <v>15</v>
      </c>
      <c r="M87" s="413" t="s">
        <v>651</v>
      </c>
      <c r="N87" s="422"/>
    </row>
    <row r="88" spans="1:14">
      <c r="A88" s="411">
        <v>8.64</v>
      </c>
      <c r="B88" s="411">
        <v>4.1399999999999997</v>
      </c>
      <c r="C88" s="411">
        <v>4.5</v>
      </c>
      <c r="D88" s="409">
        <v>967.10814305267638</v>
      </c>
      <c r="E88" s="443">
        <v>2234.4586332534482</v>
      </c>
      <c r="F88" s="443">
        <v>1163.8871615128046</v>
      </c>
      <c r="G88" s="411">
        <v>0</v>
      </c>
      <c r="H88" s="411">
        <v>4.0999999999999996</v>
      </c>
      <c r="I88" s="411">
        <v>15</v>
      </c>
      <c r="M88" s="418" t="s">
        <v>645</v>
      </c>
      <c r="N88" s="420">
        <f>IF(N79=N61,0,(N61-N79)*0.052*8.33)</f>
        <v>0</v>
      </c>
    </row>
    <row r="89" spans="1:14">
      <c r="A89" s="411">
        <v>8.89</v>
      </c>
      <c r="B89" s="411">
        <v>4.1399999999999997</v>
      </c>
      <c r="C89" s="411">
        <v>4.75</v>
      </c>
      <c r="D89" s="409">
        <v>967.10814305267627</v>
      </c>
      <c r="E89" s="443">
        <v>2299.1190311152704</v>
      </c>
      <c r="F89" s="443">
        <v>1228.5475593746271</v>
      </c>
      <c r="G89" s="411">
        <v>0</v>
      </c>
      <c r="H89" s="411">
        <v>4.0999999999999996</v>
      </c>
      <c r="I89" s="411">
        <v>15</v>
      </c>
      <c r="M89" s="419" t="s">
        <v>646</v>
      </c>
      <c r="N89" s="421">
        <f>IF(N79&gt;=N60,0,(N60-N79)*I8)</f>
        <v>0</v>
      </c>
    </row>
    <row r="90" spans="1:14">
      <c r="A90" s="411">
        <v>9.14</v>
      </c>
      <c r="B90" s="411">
        <v>4.1399999999999997</v>
      </c>
      <c r="C90" s="411">
        <v>5</v>
      </c>
      <c r="D90" s="409">
        <v>967.10814305267627</v>
      </c>
      <c r="E90" s="443">
        <v>2363.7794289770932</v>
      </c>
      <c r="F90" s="443">
        <v>1293.2079572364494</v>
      </c>
      <c r="G90" s="411">
        <v>0</v>
      </c>
      <c r="H90" s="411">
        <v>4.0999999999999996</v>
      </c>
      <c r="I90" s="411">
        <v>15</v>
      </c>
      <c r="M90" s="440" t="s">
        <v>611</v>
      </c>
      <c r="N90" s="439">
        <f>E4-N82-N85-N88+N83+N86+N89</f>
        <v>1063.7050619370486</v>
      </c>
    </row>
    <row r="91" spans="1:14">
      <c r="A91" s="411">
        <v>9.39</v>
      </c>
      <c r="B91" s="411">
        <v>4.1399999999999997</v>
      </c>
      <c r="C91" s="411">
        <v>5.25</v>
      </c>
      <c r="D91" s="409">
        <v>967.10814305267616</v>
      </c>
      <c r="E91" s="443">
        <v>2428.4398268389155</v>
      </c>
      <c r="F91" s="443">
        <v>1357.8683550982721</v>
      </c>
      <c r="G91" s="411">
        <v>0</v>
      </c>
      <c r="H91" s="411">
        <v>4.0999999999999996</v>
      </c>
      <c r="I91" s="411">
        <v>15</v>
      </c>
    </row>
    <row r="92" spans="1:14">
      <c r="A92" s="411">
        <v>9.64</v>
      </c>
      <c r="B92" s="411">
        <v>4.1399999999999997</v>
      </c>
      <c r="C92" s="411">
        <v>5.5</v>
      </c>
      <c r="D92" s="409">
        <v>967.10814305267616</v>
      </c>
      <c r="E92" s="443">
        <v>2493.1002247007377</v>
      </c>
      <c r="F92" s="443">
        <v>1422.5287529600946</v>
      </c>
      <c r="G92" s="411">
        <v>0</v>
      </c>
      <c r="H92" s="411">
        <v>4.0999999999999996</v>
      </c>
      <c r="I92" s="411">
        <v>15</v>
      </c>
    </row>
    <row r="93" spans="1:14">
      <c r="A93" s="411">
        <v>9.89</v>
      </c>
      <c r="B93" s="411">
        <v>4.1399999999999997</v>
      </c>
      <c r="C93" s="411">
        <v>5.75</v>
      </c>
      <c r="D93" s="409">
        <v>967.10814305267616</v>
      </c>
      <c r="E93" s="443">
        <v>2557.7606225625605</v>
      </c>
      <c r="F93" s="443">
        <v>1487.1891508219171</v>
      </c>
      <c r="G93" s="411">
        <v>0</v>
      </c>
      <c r="H93" s="411">
        <v>4.0999999999999996</v>
      </c>
      <c r="I93" s="411">
        <v>15</v>
      </c>
    </row>
    <row r="94" spans="1:14">
      <c r="A94" s="411">
        <v>10.14</v>
      </c>
      <c r="B94" s="411">
        <v>4.1399999999999997</v>
      </c>
      <c r="C94" s="411">
        <v>6</v>
      </c>
      <c r="D94" s="409">
        <v>967.10814305267627</v>
      </c>
      <c r="E94" s="443">
        <v>2622.4210204243827</v>
      </c>
      <c r="F94" s="443">
        <v>1551.8495486837396</v>
      </c>
      <c r="G94" s="411">
        <v>0</v>
      </c>
      <c r="H94" s="411">
        <v>4.0999999999999996</v>
      </c>
      <c r="I94" s="411">
        <v>15</v>
      </c>
    </row>
    <row r="95" spans="1:14">
      <c r="A95" s="411">
        <v>10.39</v>
      </c>
      <c r="B95" s="411">
        <v>4.1399999999999997</v>
      </c>
      <c r="C95" s="411">
        <v>6.25</v>
      </c>
      <c r="D95" s="409">
        <v>967.10814305267638</v>
      </c>
      <c r="E95" s="443">
        <v>2687.081418286205</v>
      </c>
      <c r="F95" s="443">
        <v>1616.5099465455619</v>
      </c>
      <c r="G95" s="411">
        <v>0</v>
      </c>
      <c r="H95" s="411">
        <v>4.0999999999999996</v>
      </c>
      <c r="I95" s="411">
        <v>15</v>
      </c>
    </row>
    <row r="96" spans="1:14">
      <c r="A96" s="411">
        <v>10.64</v>
      </c>
      <c r="B96" s="411">
        <v>4.1399999999999997</v>
      </c>
      <c r="C96" s="411">
        <v>6.5</v>
      </c>
      <c r="D96" s="409">
        <v>967.1081430526765</v>
      </c>
      <c r="E96" s="443">
        <v>2751.7418161480277</v>
      </c>
      <c r="F96" s="443">
        <v>1681.1703444073844</v>
      </c>
      <c r="G96" s="411">
        <v>0</v>
      </c>
      <c r="H96" s="411">
        <v>4.0999999999999996</v>
      </c>
      <c r="I96" s="411">
        <v>15</v>
      </c>
    </row>
    <row r="97" spans="1:9">
      <c r="A97" s="411">
        <v>10.89</v>
      </c>
      <c r="B97" s="411">
        <v>4.1399999999999997</v>
      </c>
      <c r="C97" s="411">
        <v>6.75</v>
      </c>
      <c r="D97" s="409">
        <v>967.10814305267638</v>
      </c>
      <c r="E97" s="443">
        <v>2816.40221400985</v>
      </c>
      <c r="F97" s="443">
        <v>1745.8307422692069</v>
      </c>
      <c r="G97" s="411">
        <v>0</v>
      </c>
      <c r="H97" s="411">
        <v>4.0999999999999996</v>
      </c>
      <c r="I97" s="411">
        <v>15</v>
      </c>
    </row>
    <row r="98" spans="1:9">
      <c r="A98" s="411">
        <v>11.14</v>
      </c>
      <c r="B98" s="411">
        <v>4.1399999999999997</v>
      </c>
      <c r="C98" s="411">
        <v>7</v>
      </c>
      <c r="D98" s="409">
        <v>967.10814305267616</v>
      </c>
      <c r="E98" s="443">
        <v>2881.0626118716723</v>
      </c>
      <c r="F98" s="443">
        <v>1810.4911401310292</v>
      </c>
      <c r="G98" s="411">
        <v>0</v>
      </c>
      <c r="H98" s="411">
        <v>4.0999999999999996</v>
      </c>
      <c r="I98" s="411">
        <v>15</v>
      </c>
    </row>
    <row r="99" spans="1:9">
      <c r="A99" s="411">
        <v>11.39</v>
      </c>
      <c r="B99" s="411">
        <v>4.1399999999999997</v>
      </c>
      <c r="C99" s="411">
        <v>7.25</v>
      </c>
      <c r="D99" s="409">
        <v>967.10814305267616</v>
      </c>
      <c r="E99" s="443">
        <v>2945.7230097334955</v>
      </c>
      <c r="F99" s="443">
        <v>1875.1515379928519</v>
      </c>
      <c r="G99" s="411">
        <v>0</v>
      </c>
      <c r="H99" s="411">
        <v>4.0999999999999996</v>
      </c>
      <c r="I99" s="411">
        <v>15</v>
      </c>
    </row>
    <row r="100" spans="1:9">
      <c r="A100" s="411">
        <v>11.64</v>
      </c>
      <c r="B100" s="411">
        <v>4.1399999999999997</v>
      </c>
      <c r="C100" s="411">
        <v>7.5</v>
      </c>
      <c r="D100" s="409">
        <v>967.10814305267627</v>
      </c>
      <c r="E100" s="443">
        <v>3010.3834075953182</v>
      </c>
      <c r="F100" s="443">
        <v>1939.8119358546744</v>
      </c>
      <c r="G100" s="411">
        <v>0</v>
      </c>
      <c r="H100" s="411">
        <v>4.0999999999999996</v>
      </c>
      <c r="I100" s="411">
        <v>15</v>
      </c>
    </row>
    <row r="101" spans="1:9">
      <c r="A101" s="411">
        <v>11.89</v>
      </c>
      <c r="B101" s="411">
        <v>4.1399999999999997</v>
      </c>
      <c r="C101" s="411">
        <v>7.75</v>
      </c>
      <c r="D101" s="409">
        <v>967.10814305267638</v>
      </c>
      <c r="E101" s="443">
        <v>3075.0438054571405</v>
      </c>
      <c r="F101" s="443">
        <v>2004.4723337164969</v>
      </c>
      <c r="G101" s="411">
        <v>0</v>
      </c>
      <c r="H101" s="411">
        <v>4.0999999999999996</v>
      </c>
      <c r="I101" s="411">
        <v>15</v>
      </c>
    </row>
    <row r="102" spans="1:9">
      <c r="A102" s="411">
        <v>12.14</v>
      </c>
      <c r="B102" s="411">
        <v>4.1399999999999997</v>
      </c>
      <c r="C102" s="411">
        <v>8</v>
      </c>
      <c r="D102" s="409">
        <v>967.10814305267627</v>
      </c>
      <c r="E102" s="443">
        <v>3139.7042033189628</v>
      </c>
      <c r="F102" s="443">
        <v>2069.1327315783192</v>
      </c>
      <c r="G102" s="411">
        <v>0</v>
      </c>
      <c r="H102" s="411">
        <v>4.0999999999999996</v>
      </c>
      <c r="I102" s="411">
        <v>15</v>
      </c>
    </row>
    <row r="103" spans="1:9">
      <c r="A103" s="411">
        <v>12.39</v>
      </c>
      <c r="B103" s="411">
        <v>4.1399999999999997</v>
      </c>
      <c r="C103" s="411">
        <v>8.25</v>
      </c>
      <c r="D103" s="409">
        <v>967.10814305267627</v>
      </c>
      <c r="E103" s="443">
        <v>3204.3646011807855</v>
      </c>
      <c r="F103" s="443">
        <v>2133.7931294401415</v>
      </c>
      <c r="G103" s="411">
        <v>0</v>
      </c>
      <c r="H103" s="411">
        <v>4.0999999999999996</v>
      </c>
      <c r="I103" s="411">
        <v>15</v>
      </c>
    </row>
    <row r="104" spans="1:9">
      <c r="A104" s="411">
        <v>12.64</v>
      </c>
      <c r="B104" s="411">
        <v>4.1399999999999997</v>
      </c>
      <c r="C104" s="411">
        <v>8.5</v>
      </c>
      <c r="D104" s="409">
        <v>967.1081430526765</v>
      </c>
      <c r="E104" s="443">
        <v>3269.0249990426078</v>
      </c>
      <c r="F104" s="443">
        <v>2198.4535273019642</v>
      </c>
      <c r="G104" s="411">
        <v>0</v>
      </c>
      <c r="H104" s="411">
        <v>4.0999999999999996</v>
      </c>
      <c r="I104" s="411">
        <v>15</v>
      </c>
    </row>
    <row r="105" spans="1:9">
      <c r="A105" s="411">
        <v>12.89</v>
      </c>
      <c r="B105" s="411">
        <v>4.1399999999999997</v>
      </c>
      <c r="C105" s="411">
        <v>8.75</v>
      </c>
      <c r="D105" s="409">
        <v>967.10814305267627</v>
      </c>
      <c r="E105" s="443">
        <v>3333.68539690443</v>
      </c>
      <c r="F105" s="443">
        <v>2263.1139251637865</v>
      </c>
      <c r="G105" s="411">
        <v>0</v>
      </c>
      <c r="H105" s="411">
        <v>4.0999999999999996</v>
      </c>
      <c r="I105" s="411">
        <v>15</v>
      </c>
    </row>
    <row r="106" spans="1:9">
      <c r="A106" s="411">
        <v>13.14</v>
      </c>
      <c r="B106" s="411">
        <v>4.1399999999999997</v>
      </c>
      <c r="C106" s="411">
        <v>9</v>
      </c>
      <c r="D106" s="409">
        <v>967.10814305267627</v>
      </c>
      <c r="E106" s="443">
        <v>3398.3457947662528</v>
      </c>
      <c r="F106" s="443">
        <v>2327.7743230256092</v>
      </c>
      <c r="G106" s="411">
        <v>0</v>
      </c>
      <c r="H106" s="411">
        <v>4.0999999999999996</v>
      </c>
      <c r="I106" s="411">
        <v>15</v>
      </c>
    </row>
    <row r="107" spans="1:9">
      <c r="A107" s="411">
        <v>13.39</v>
      </c>
      <c r="B107" s="411">
        <v>4.1399999999999997</v>
      </c>
      <c r="C107" s="411">
        <v>9.25</v>
      </c>
      <c r="D107" s="409">
        <v>967.10814305267627</v>
      </c>
      <c r="E107" s="443">
        <v>3463.006192628075</v>
      </c>
      <c r="F107" s="443">
        <v>2392.4347208874315</v>
      </c>
      <c r="G107" s="411">
        <v>0</v>
      </c>
      <c r="H107" s="411">
        <v>4.0999999999999996</v>
      </c>
      <c r="I107" s="411">
        <v>15</v>
      </c>
    </row>
    <row r="108" spans="1:9">
      <c r="A108" s="411">
        <v>13.64</v>
      </c>
      <c r="B108" s="411">
        <v>4.1399999999999997</v>
      </c>
      <c r="C108" s="411">
        <v>9.5</v>
      </c>
      <c r="D108" s="409">
        <v>970.25079127009099</v>
      </c>
      <c r="E108" s="443">
        <v>3484.3448945557379</v>
      </c>
      <c r="F108" s="443">
        <v>2457.0951187492542</v>
      </c>
      <c r="G108" s="411">
        <v>0</v>
      </c>
      <c r="H108" s="411">
        <v>3.9</v>
      </c>
      <c r="I108" s="411">
        <v>14.185917287583745</v>
      </c>
    </row>
    <row r="109" spans="1:9">
      <c r="A109" s="411">
        <v>13.89</v>
      </c>
      <c r="B109" s="411">
        <v>4.1399999999999997</v>
      </c>
      <c r="C109" s="411">
        <v>9.75</v>
      </c>
      <c r="D109" s="409">
        <v>973.90122524355979</v>
      </c>
      <c r="E109" s="443">
        <v>3500</v>
      </c>
      <c r="F109" s="443">
        <v>2521.7555166110765</v>
      </c>
      <c r="G109" s="411">
        <v>2.418343629270317E-2</v>
      </c>
      <c r="H109" s="411">
        <v>3.7</v>
      </c>
      <c r="I109" s="411">
        <v>13.280336642422458</v>
      </c>
    </row>
    <row r="110" spans="1:9">
      <c r="A110" s="411">
        <v>14.14</v>
      </c>
      <c r="B110" s="411">
        <v>4.1399999999999997</v>
      </c>
      <c r="C110" s="411">
        <v>10</v>
      </c>
      <c r="D110" s="409">
        <v>982.16741050621533</v>
      </c>
      <c r="E110" s="443">
        <v>3500</v>
      </c>
      <c r="F110" s="443">
        <v>2586.4159144728987</v>
      </c>
      <c r="G110" s="411">
        <v>0.92976408145399281</v>
      </c>
      <c r="H110" s="411">
        <v>3.4</v>
      </c>
      <c r="I110" s="411">
        <v>12.37475599726117</v>
      </c>
    </row>
    <row r="111" spans="1:9">
      <c r="A111" s="411">
        <v>14.39</v>
      </c>
      <c r="B111" s="411">
        <v>4.1399999999999997</v>
      </c>
      <c r="C111" s="411">
        <v>10.25</v>
      </c>
      <c r="D111" s="409">
        <v>990.43359576887065</v>
      </c>
      <c r="E111" s="443">
        <v>3500</v>
      </c>
      <c r="F111" s="443">
        <v>2651.0763123347215</v>
      </c>
      <c r="G111" s="411">
        <v>1.8353447266152825</v>
      </c>
      <c r="H111" s="411">
        <v>3.2</v>
      </c>
      <c r="I111" s="411">
        <v>11.469175352099876</v>
      </c>
    </row>
    <row r="112" spans="1:9">
      <c r="A112" s="411">
        <v>14.64</v>
      </c>
      <c r="B112" s="411">
        <v>4.1399999999999997</v>
      </c>
      <c r="C112" s="411">
        <v>10.5</v>
      </c>
      <c r="D112" s="409">
        <v>998.69978103152619</v>
      </c>
      <c r="E112" s="443">
        <v>3500</v>
      </c>
      <c r="F112" s="443">
        <v>2715.7367101965442</v>
      </c>
      <c r="G112" s="411">
        <v>2.7409253717765814</v>
      </c>
      <c r="H112" s="411">
        <v>2.9</v>
      </c>
      <c r="I112" s="411">
        <v>10.563594706938584</v>
      </c>
    </row>
    <row r="113" spans="1:9">
      <c r="A113" s="411">
        <v>14.89</v>
      </c>
      <c r="B113" s="411">
        <v>4.1399999999999997</v>
      </c>
      <c r="C113" s="411">
        <v>10.75</v>
      </c>
      <c r="D113" s="409">
        <v>1006.9659662941815</v>
      </c>
      <c r="E113" s="443">
        <v>3500</v>
      </c>
      <c r="F113" s="443">
        <v>2780.3971080583665</v>
      </c>
      <c r="G113" s="411">
        <v>3.6465060169378707</v>
      </c>
      <c r="H113" s="411">
        <v>2.7</v>
      </c>
      <c r="I113" s="411">
        <v>9.6580140617772958</v>
      </c>
    </row>
    <row r="114" spans="1:9">
      <c r="A114" s="411">
        <v>15.14</v>
      </c>
      <c r="B114" s="411">
        <v>4.1399999999999997</v>
      </c>
      <c r="C114" s="411">
        <v>11</v>
      </c>
      <c r="D114" s="409">
        <v>1015.2321515568367</v>
      </c>
      <c r="E114" s="443">
        <v>3500</v>
      </c>
      <c r="F114" s="443">
        <v>2845.0575059201892</v>
      </c>
      <c r="G114" s="411">
        <v>4.5520866620991605</v>
      </c>
      <c r="H114" s="411">
        <v>2.4</v>
      </c>
      <c r="I114" s="411">
        <v>8.752433416616002</v>
      </c>
    </row>
    <row r="115" spans="1:9">
      <c r="A115" s="411">
        <v>15.39</v>
      </c>
      <c r="B115" s="411">
        <v>4.1399999999999997</v>
      </c>
      <c r="C115" s="411">
        <v>11.25</v>
      </c>
      <c r="D115" s="409">
        <v>1023.4983368194924</v>
      </c>
      <c r="E115" s="443">
        <v>3500</v>
      </c>
      <c r="F115" s="443">
        <v>2909.7179037820115</v>
      </c>
      <c r="G115" s="411">
        <v>5.4576673072604498</v>
      </c>
      <c r="H115" s="411">
        <v>2.2000000000000002</v>
      </c>
      <c r="I115" s="411">
        <v>7.8468527714547145</v>
      </c>
    </row>
    <row r="116" spans="1:9">
      <c r="A116" s="411">
        <v>15.64</v>
      </c>
      <c r="B116" s="411">
        <v>4.1399999999999997</v>
      </c>
      <c r="C116" s="411">
        <v>11.5</v>
      </c>
      <c r="D116" s="409">
        <v>1031.7645220821476</v>
      </c>
      <c r="E116" s="443">
        <v>3500</v>
      </c>
      <c r="F116" s="443">
        <v>2974.3783016438342</v>
      </c>
      <c r="G116" s="411">
        <v>6.36324795242174</v>
      </c>
      <c r="H116" s="411">
        <v>1.9</v>
      </c>
      <c r="I116" s="411">
        <v>6.9412721262934198</v>
      </c>
    </row>
    <row r="117" spans="1:9">
      <c r="A117" s="411">
        <v>15.89</v>
      </c>
      <c r="B117" s="411">
        <v>4.1399999999999997</v>
      </c>
      <c r="C117" s="411">
        <v>11.75</v>
      </c>
      <c r="D117" s="409">
        <v>1040.030707344803</v>
      </c>
      <c r="E117" s="443">
        <v>3500</v>
      </c>
      <c r="F117" s="443">
        <v>3039.0386995056565</v>
      </c>
      <c r="G117" s="411">
        <v>7.2688285975830293</v>
      </c>
      <c r="H117" s="411">
        <v>1.7</v>
      </c>
      <c r="I117" s="411">
        <v>6.0356914811321332</v>
      </c>
    </row>
    <row r="118" spans="1:9">
      <c r="A118" s="411">
        <v>16.14</v>
      </c>
      <c r="B118" s="411">
        <v>4.1399999999999997</v>
      </c>
      <c r="C118" s="411">
        <v>12</v>
      </c>
      <c r="D118" s="409">
        <v>1048.2968926074584</v>
      </c>
      <c r="E118" s="443">
        <v>3500</v>
      </c>
      <c r="F118" s="443">
        <v>3103.6990973674792</v>
      </c>
      <c r="G118" s="411">
        <v>8.1744092427443196</v>
      </c>
      <c r="H118" s="411">
        <v>1.4</v>
      </c>
      <c r="I118" s="411">
        <v>5.1301108359708394</v>
      </c>
    </row>
    <row r="119" spans="1:9">
      <c r="A119" s="411">
        <v>16.39</v>
      </c>
      <c r="B119" s="411">
        <v>4.1399999999999997</v>
      </c>
      <c r="C119" s="411">
        <v>12.25</v>
      </c>
      <c r="D119" s="409">
        <v>1056.5630778701141</v>
      </c>
      <c r="E119" s="443">
        <v>3500</v>
      </c>
      <c r="F119" s="443">
        <v>3168.3594952293015</v>
      </c>
      <c r="G119" s="411">
        <v>9.079989887905608</v>
      </c>
      <c r="H119" s="411">
        <v>1.2</v>
      </c>
      <c r="I119" s="411">
        <v>4.2245301908095518</v>
      </c>
    </row>
    <row r="120" spans="1:9">
      <c r="A120" s="411">
        <v>16.606000000000019</v>
      </c>
      <c r="B120" s="411">
        <v>4.1399999999999997</v>
      </c>
      <c r="C120" s="411">
        <v>12.466000000000019</v>
      </c>
      <c r="D120" s="409">
        <v>1063.7050619370486</v>
      </c>
      <c r="E120" s="443">
        <v>3500</v>
      </c>
      <c r="F120" s="443">
        <v>3224.2260789819206</v>
      </c>
      <c r="G120" s="411">
        <v>9.8624115653250275</v>
      </c>
      <c r="H120" s="411">
        <v>1</v>
      </c>
      <c r="I120" s="411">
        <v>3.4421085133901332</v>
      </c>
    </row>
    <row r="121" spans="1:9">
      <c r="A121" s="411"/>
      <c r="B121" s="411"/>
      <c r="C121" s="411"/>
      <c r="D121" s="409"/>
      <c r="E121" s="443"/>
      <c r="F121" s="443"/>
      <c r="G121" s="411"/>
      <c r="H121" s="411"/>
      <c r="I121" s="411"/>
    </row>
    <row r="122" spans="1:9">
      <c r="A122" s="411"/>
      <c r="B122" s="411"/>
      <c r="C122" s="411"/>
      <c r="D122" s="409"/>
      <c r="E122" s="443"/>
      <c r="F122" s="443"/>
      <c r="G122" s="411"/>
      <c r="H122" s="411"/>
      <c r="I122" s="411"/>
    </row>
    <row r="123" spans="1:9">
      <c r="A123" s="411"/>
      <c r="B123" s="411"/>
      <c r="C123" s="411"/>
      <c r="D123" s="409"/>
      <c r="E123" s="443"/>
      <c r="F123" s="443"/>
      <c r="G123" s="411"/>
      <c r="H123" s="411"/>
      <c r="I123" s="411"/>
    </row>
    <row r="124" spans="1:9">
      <c r="A124" s="411"/>
      <c r="B124" s="411"/>
      <c r="C124" s="411"/>
      <c r="D124" s="409"/>
      <c r="E124" s="443"/>
      <c r="F124" s="443"/>
      <c r="G124" s="411"/>
      <c r="H124" s="411"/>
      <c r="I124" s="411"/>
    </row>
    <row r="125" spans="1:9">
      <c r="A125" s="411"/>
      <c r="B125" s="411"/>
      <c r="C125" s="411"/>
      <c r="D125" s="409"/>
      <c r="E125" s="443"/>
      <c r="F125" s="443"/>
      <c r="G125" s="411"/>
      <c r="H125" s="411"/>
      <c r="I125" s="411"/>
    </row>
    <row r="126" spans="1:9">
      <c r="A126" s="411"/>
      <c r="B126" s="411"/>
      <c r="C126" s="411"/>
      <c r="D126" s="409"/>
      <c r="E126" s="443"/>
      <c r="F126" s="443"/>
      <c r="G126" s="411"/>
      <c r="H126" s="411"/>
      <c r="I126" s="411"/>
    </row>
    <row r="127" spans="1:9">
      <c r="A127" s="411"/>
      <c r="B127" s="411"/>
      <c r="C127" s="411"/>
      <c r="D127" s="409"/>
      <c r="E127" s="443"/>
      <c r="F127" s="443"/>
      <c r="G127" s="411"/>
      <c r="H127" s="411"/>
      <c r="I127" s="411"/>
    </row>
    <row r="128" spans="1:9">
      <c r="A128" s="411"/>
      <c r="B128" s="411"/>
      <c r="C128" s="411"/>
      <c r="D128" s="409"/>
      <c r="E128" s="443"/>
      <c r="F128" s="443"/>
      <c r="G128" s="411"/>
      <c r="H128" s="411"/>
      <c r="I128" s="411"/>
    </row>
    <row r="129" spans="1:9">
      <c r="A129" s="411"/>
      <c r="B129" s="411"/>
      <c r="C129" s="411"/>
      <c r="D129" s="409"/>
      <c r="E129" s="443"/>
      <c r="F129" s="443"/>
      <c r="G129" s="411"/>
      <c r="H129" s="411"/>
      <c r="I129" s="411"/>
    </row>
    <row r="130" spans="1:9">
      <c r="A130" s="411"/>
      <c r="B130" s="411"/>
      <c r="C130" s="411"/>
      <c r="D130" s="409"/>
      <c r="E130" s="443"/>
      <c r="F130" s="443"/>
      <c r="G130" s="411"/>
      <c r="H130" s="411"/>
      <c r="I130" s="411"/>
    </row>
    <row r="131" spans="1:9">
      <c r="A131" s="411"/>
      <c r="B131" s="411"/>
      <c r="C131" s="411"/>
      <c r="D131" s="409"/>
      <c r="E131" s="443"/>
      <c r="F131" s="443"/>
      <c r="G131" s="411"/>
      <c r="H131" s="411"/>
      <c r="I131" s="411"/>
    </row>
    <row r="132" spans="1:9">
      <c r="A132" s="411"/>
      <c r="B132" s="411"/>
      <c r="C132" s="411"/>
      <c r="D132" s="409"/>
      <c r="E132" s="443"/>
      <c r="F132" s="443"/>
      <c r="G132" s="411"/>
      <c r="H132" s="411"/>
      <c r="I132" s="411"/>
    </row>
    <row r="133" spans="1:9">
      <c r="A133" s="411"/>
      <c r="B133" s="411"/>
      <c r="C133" s="411"/>
      <c r="D133" s="409"/>
      <c r="E133" s="443"/>
      <c r="F133" s="443"/>
      <c r="G133" s="411"/>
      <c r="H133" s="411"/>
      <c r="I133" s="411"/>
    </row>
    <row r="134" spans="1:9">
      <c r="A134" s="411"/>
      <c r="B134" s="411"/>
      <c r="C134" s="411"/>
      <c r="D134" s="409"/>
      <c r="E134" s="443"/>
      <c r="F134" s="443"/>
      <c r="G134" s="411"/>
      <c r="H134" s="411"/>
      <c r="I134" s="411"/>
    </row>
    <row r="135" spans="1:9">
      <c r="A135" s="411"/>
      <c r="B135" s="411"/>
      <c r="C135" s="411"/>
      <c r="D135" s="409"/>
      <c r="E135" s="443"/>
      <c r="F135" s="443"/>
      <c r="G135" s="411"/>
      <c r="H135" s="411"/>
      <c r="I135" s="411"/>
    </row>
    <row r="136" spans="1:9">
      <c r="A136" s="411"/>
      <c r="B136" s="411"/>
      <c r="C136" s="411"/>
      <c r="D136" s="409"/>
      <c r="E136" s="443"/>
      <c r="F136" s="443"/>
      <c r="G136" s="411"/>
      <c r="H136" s="411"/>
      <c r="I136" s="411"/>
    </row>
    <row r="137" spans="1:9">
      <c r="A137" s="411"/>
      <c r="B137" s="411"/>
      <c r="C137" s="411"/>
      <c r="D137" s="409"/>
      <c r="E137" s="443"/>
      <c r="F137" s="443"/>
      <c r="G137" s="411"/>
      <c r="H137" s="411"/>
      <c r="I137" s="411"/>
    </row>
    <row r="138" spans="1:9">
      <c r="A138" s="411"/>
      <c r="B138" s="411"/>
      <c r="C138" s="411"/>
      <c r="D138" s="409"/>
      <c r="E138" s="443"/>
      <c r="F138" s="443"/>
      <c r="G138" s="411"/>
      <c r="H138" s="411"/>
      <c r="I138" s="411"/>
    </row>
    <row r="139" spans="1:9">
      <c r="A139" s="411"/>
      <c r="B139" s="411"/>
      <c r="C139" s="411"/>
      <c r="D139" s="409"/>
      <c r="E139" s="443"/>
      <c r="F139" s="443"/>
      <c r="G139" s="411"/>
      <c r="H139" s="411"/>
      <c r="I139" s="411"/>
    </row>
    <row r="140" spans="1:9">
      <c r="A140" s="411"/>
      <c r="B140" s="411"/>
      <c r="C140" s="411"/>
      <c r="D140" s="409"/>
      <c r="E140" s="443"/>
      <c r="F140" s="443"/>
      <c r="G140" s="411"/>
      <c r="H140" s="411"/>
      <c r="I140" s="411"/>
    </row>
    <row r="141" spans="1:9">
      <c r="A141" s="411"/>
      <c r="B141" s="411"/>
      <c r="C141" s="411"/>
      <c r="D141" s="409"/>
      <c r="E141" s="443"/>
      <c r="F141" s="443"/>
      <c r="G141" s="411"/>
      <c r="H141" s="411"/>
      <c r="I141" s="411"/>
    </row>
    <row r="142" spans="1:9">
      <c r="A142" s="411"/>
      <c r="B142" s="411"/>
      <c r="C142" s="411"/>
      <c r="D142" s="409"/>
      <c r="E142" s="443"/>
      <c r="F142" s="443"/>
      <c r="G142" s="411"/>
      <c r="H142" s="411"/>
      <c r="I142" s="411"/>
    </row>
    <row r="143" spans="1:9">
      <c r="A143" s="411"/>
      <c r="B143" s="411"/>
      <c r="C143" s="411"/>
      <c r="D143" s="409"/>
      <c r="E143" s="443"/>
      <c r="F143" s="443"/>
      <c r="G143" s="411"/>
      <c r="H143" s="411"/>
      <c r="I143" s="411"/>
    </row>
    <row r="144" spans="1:9">
      <c r="A144" s="411"/>
      <c r="B144" s="411"/>
      <c r="C144" s="411"/>
      <c r="D144" s="409"/>
      <c r="E144" s="443"/>
      <c r="F144" s="443"/>
      <c r="G144" s="411"/>
      <c r="H144" s="411"/>
      <c r="I144" s="411"/>
    </row>
    <row r="145" spans="1:9">
      <c r="A145" s="411"/>
      <c r="B145" s="411"/>
      <c r="C145" s="411"/>
      <c r="D145" s="409"/>
      <c r="E145" s="443"/>
      <c r="F145" s="443"/>
      <c r="G145" s="411"/>
      <c r="H145" s="411"/>
      <c r="I145" s="411"/>
    </row>
    <row r="146" spans="1:9">
      <c r="A146" s="411"/>
      <c r="B146" s="411"/>
      <c r="C146" s="411"/>
      <c r="D146" s="409"/>
      <c r="E146" s="443"/>
      <c r="F146" s="443"/>
      <c r="G146" s="411"/>
      <c r="H146" s="411"/>
      <c r="I146" s="411"/>
    </row>
    <row r="147" spans="1:9">
      <c r="A147" s="411"/>
      <c r="B147" s="411"/>
      <c r="C147" s="411"/>
      <c r="D147" s="409"/>
      <c r="E147" s="443"/>
      <c r="F147" s="443"/>
      <c r="G147" s="411"/>
      <c r="H147" s="411"/>
      <c r="I147" s="411"/>
    </row>
    <row r="148" spans="1:9">
      <c r="A148" s="411"/>
      <c r="B148" s="411"/>
      <c r="C148" s="411"/>
      <c r="D148" s="409"/>
      <c r="E148" s="443"/>
      <c r="F148" s="443"/>
      <c r="G148" s="411"/>
      <c r="H148" s="411"/>
      <c r="I148" s="411"/>
    </row>
    <row r="149" spans="1:9">
      <c r="A149" s="411"/>
      <c r="B149" s="411"/>
      <c r="C149" s="411"/>
      <c r="D149" s="409"/>
      <c r="E149" s="443"/>
      <c r="F149" s="443"/>
      <c r="G149" s="411"/>
      <c r="H149" s="411"/>
      <c r="I149" s="411"/>
    </row>
    <row r="150" spans="1:9">
      <c r="A150" s="411"/>
      <c r="B150" s="411"/>
      <c r="C150" s="411"/>
      <c r="D150" s="409"/>
      <c r="E150" s="443"/>
      <c r="F150" s="443"/>
      <c r="G150" s="411"/>
      <c r="H150" s="411"/>
      <c r="I150" s="411"/>
    </row>
    <row r="151" spans="1:9">
      <c r="A151" s="411"/>
      <c r="B151" s="411"/>
      <c r="C151" s="411"/>
      <c r="D151" s="409"/>
      <c r="E151" s="443"/>
      <c r="F151" s="443"/>
      <c r="G151" s="411"/>
      <c r="H151" s="411"/>
      <c r="I151" s="411"/>
    </row>
    <row r="152" spans="1:9">
      <c r="A152" s="411"/>
      <c r="B152" s="411"/>
      <c r="C152" s="411"/>
      <c r="D152" s="409"/>
      <c r="E152" s="443"/>
      <c r="F152" s="443"/>
      <c r="G152" s="411"/>
      <c r="H152" s="411"/>
      <c r="I152" s="411"/>
    </row>
    <row r="153" spans="1:9">
      <c r="A153" s="411"/>
      <c r="B153" s="411"/>
      <c r="C153" s="411"/>
      <c r="D153" s="409"/>
      <c r="E153" s="443"/>
      <c r="F153" s="443"/>
      <c r="G153" s="411"/>
      <c r="H153" s="411"/>
      <c r="I153" s="411"/>
    </row>
    <row r="154" spans="1:9">
      <c r="A154" s="411"/>
      <c r="B154" s="411"/>
      <c r="C154" s="411"/>
      <c r="D154" s="409"/>
      <c r="E154" s="443"/>
      <c r="F154" s="443"/>
      <c r="G154" s="411"/>
      <c r="H154" s="411"/>
      <c r="I154" s="411"/>
    </row>
    <row r="155" spans="1:9">
      <c r="A155" s="411"/>
      <c r="B155" s="411"/>
      <c r="C155" s="411"/>
      <c r="D155" s="409"/>
      <c r="E155" s="443"/>
      <c r="F155" s="443"/>
      <c r="G155" s="411"/>
      <c r="H155" s="411"/>
      <c r="I155" s="411"/>
    </row>
    <row r="156" spans="1:9">
      <c r="A156" s="411"/>
      <c r="B156" s="411"/>
      <c r="C156" s="411"/>
      <c r="D156" s="409"/>
      <c r="E156" s="443"/>
      <c r="F156" s="443"/>
      <c r="G156" s="411"/>
      <c r="H156" s="411"/>
      <c r="I156" s="411"/>
    </row>
    <row r="157" spans="1:9">
      <c r="A157" s="411"/>
      <c r="B157" s="411"/>
      <c r="C157" s="411"/>
      <c r="D157" s="409"/>
      <c r="E157" s="443"/>
      <c r="F157" s="443"/>
      <c r="G157" s="411"/>
      <c r="H157" s="411"/>
      <c r="I157" s="411"/>
    </row>
    <row r="158" spans="1:9">
      <c r="A158" s="411"/>
      <c r="B158" s="411"/>
      <c r="C158" s="411"/>
      <c r="D158" s="409"/>
      <c r="E158" s="443"/>
      <c r="F158" s="443"/>
      <c r="G158" s="411"/>
      <c r="H158" s="411"/>
      <c r="I158" s="411"/>
    </row>
    <row r="159" spans="1:9">
      <c r="A159" s="411"/>
      <c r="B159" s="411"/>
      <c r="C159" s="411"/>
      <c r="D159" s="409"/>
      <c r="E159" s="443"/>
      <c r="F159" s="443"/>
      <c r="G159" s="411"/>
      <c r="H159" s="411"/>
      <c r="I159" s="411"/>
    </row>
    <row r="160" spans="1:9">
      <c r="A160" s="411"/>
      <c r="B160" s="411"/>
      <c r="C160" s="411"/>
      <c r="D160" s="409"/>
      <c r="E160" s="443"/>
      <c r="F160" s="443"/>
      <c r="G160" s="411"/>
      <c r="H160" s="411"/>
      <c r="I160" s="411"/>
    </row>
    <row r="161" spans="1:9">
      <c r="A161" s="411"/>
      <c r="B161" s="411"/>
      <c r="C161" s="411"/>
      <c r="D161" s="409"/>
      <c r="E161" s="443"/>
      <c r="F161" s="443"/>
      <c r="G161" s="411"/>
      <c r="H161" s="411"/>
      <c r="I161" s="411"/>
    </row>
    <row r="162" spans="1:9">
      <c r="A162" s="411"/>
      <c r="B162" s="411"/>
      <c r="C162" s="411"/>
      <c r="D162" s="409"/>
      <c r="E162" s="443"/>
      <c r="F162" s="443"/>
      <c r="G162" s="411"/>
      <c r="H162" s="411"/>
      <c r="I162" s="411"/>
    </row>
    <row r="163" spans="1:9">
      <c r="A163" s="411"/>
      <c r="B163" s="411"/>
      <c r="C163" s="411"/>
      <c r="D163" s="409"/>
      <c r="E163" s="443"/>
      <c r="F163" s="443"/>
      <c r="G163" s="411"/>
      <c r="H163" s="411"/>
      <c r="I163" s="411"/>
    </row>
    <row r="164" spans="1:9">
      <c r="A164" s="411"/>
      <c r="B164" s="411"/>
      <c r="C164" s="411"/>
      <c r="D164" s="409"/>
      <c r="E164" s="443"/>
      <c r="F164" s="443"/>
      <c r="G164" s="411"/>
      <c r="H164" s="411"/>
      <c r="I164" s="411"/>
    </row>
    <row r="165" spans="1:9">
      <c r="A165" s="411"/>
      <c r="B165" s="411"/>
      <c r="C165" s="411"/>
      <c r="D165" s="409"/>
      <c r="E165" s="443"/>
      <c r="F165" s="443"/>
      <c r="G165" s="411"/>
      <c r="H165" s="411"/>
      <c r="I165" s="411"/>
    </row>
    <row r="166" spans="1:9">
      <c r="A166" s="411"/>
      <c r="B166" s="411"/>
      <c r="C166" s="411"/>
      <c r="D166" s="409"/>
      <c r="E166" s="443"/>
      <c r="F166" s="443"/>
      <c r="G166" s="411"/>
      <c r="H166" s="411"/>
      <c r="I166" s="411"/>
    </row>
    <row r="167" spans="1:9">
      <c r="A167" s="411"/>
      <c r="B167" s="411"/>
      <c r="C167" s="411"/>
      <c r="D167" s="409"/>
      <c r="E167" s="443"/>
      <c r="F167" s="443"/>
      <c r="G167" s="411"/>
      <c r="H167" s="411"/>
      <c r="I167" s="411"/>
    </row>
    <row r="168" spans="1:9">
      <c r="A168" s="411"/>
      <c r="B168" s="411"/>
      <c r="C168" s="411"/>
      <c r="D168" s="409"/>
      <c r="E168" s="443"/>
      <c r="F168" s="443"/>
      <c r="G168" s="411"/>
      <c r="H168" s="411"/>
      <c r="I168" s="411"/>
    </row>
    <row r="169" spans="1:9">
      <c r="A169" s="411"/>
      <c r="B169" s="411"/>
      <c r="C169" s="411"/>
      <c r="D169" s="409"/>
      <c r="E169" s="443"/>
      <c r="F169" s="443"/>
      <c r="G169" s="411"/>
      <c r="H169" s="411"/>
      <c r="I169" s="411"/>
    </row>
    <row r="170" spans="1:9">
      <c r="A170" s="411"/>
      <c r="B170" s="411"/>
      <c r="C170" s="411"/>
      <c r="D170" s="409"/>
      <c r="E170" s="443"/>
      <c r="F170" s="443"/>
      <c r="G170" s="411"/>
      <c r="H170" s="411"/>
      <c r="I170" s="411"/>
    </row>
    <row r="171" spans="1:9">
      <c r="A171" s="411"/>
      <c r="B171" s="411"/>
      <c r="C171" s="411"/>
      <c r="D171" s="409"/>
      <c r="E171" s="443"/>
      <c r="F171" s="443"/>
      <c r="G171" s="411"/>
      <c r="H171" s="411"/>
      <c r="I171" s="411"/>
    </row>
    <row r="172" spans="1:9">
      <c r="A172" s="411"/>
      <c r="B172" s="411"/>
      <c r="C172" s="411"/>
      <c r="D172" s="409"/>
      <c r="E172" s="443"/>
      <c r="F172" s="443"/>
      <c r="G172" s="411"/>
      <c r="H172" s="411"/>
      <c r="I172" s="411"/>
    </row>
    <row r="173" spans="1:9">
      <c r="A173" s="411"/>
      <c r="B173" s="411"/>
      <c r="C173" s="411"/>
      <c r="D173" s="409"/>
      <c r="E173" s="443"/>
      <c r="F173" s="443"/>
      <c r="G173" s="411"/>
      <c r="H173" s="411"/>
      <c r="I173" s="411"/>
    </row>
    <row r="174" spans="1:9">
      <c r="A174" s="411"/>
      <c r="B174" s="411"/>
      <c r="C174" s="411"/>
      <c r="D174" s="409"/>
      <c r="E174" s="443"/>
      <c r="F174" s="443"/>
      <c r="G174" s="411"/>
      <c r="H174" s="411"/>
      <c r="I174" s="411"/>
    </row>
    <row r="175" spans="1:9">
      <c r="A175" s="411"/>
      <c r="B175" s="411"/>
      <c r="C175" s="411"/>
      <c r="D175" s="409"/>
      <c r="E175" s="443"/>
      <c r="F175" s="443"/>
      <c r="G175" s="411"/>
      <c r="H175" s="411"/>
      <c r="I175" s="411"/>
    </row>
    <row r="176" spans="1:9">
      <c r="A176" s="411"/>
      <c r="B176" s="411"/>
      <c r="C176" s="411"/>
      <c r="D176" s="409"/>
      <c r="E176" s="443"/>
      <c r="F176" s="443"/>
      <c r="G176" s="411"/>
      <c r="H176" s="411"/>
      <c r="I176" s="411"/>
    </row>
    <row r="177" spans="1:9">
      <c r="A177" s="411"/>
      <c r="B177" s="411"/>
      <c r="C177" s="411"/>
      <c r="D177" s="409"/>
      <c r="E177" s="443"/>
      <c r="F177" s="443"/>
      <c r="G177" s="411"/>
      <c r="H177" s="411"/>
      <c r="I177" s="411"/>
    </row>
    <row r="178" spans="1:9">
      <c r="A178" s="411"/>
      <c r="B178" s="411"/>
      <c r="C178" s="411"/>
      <c r="D178" s="409"/>
      <c r="E178" s="443"/>
      <c r="F178" s="443"/>
      <c r="G178" s="411"/>
      <c r="H178" s="411"/>
      <c r="I178" s="411"/>
    </row>
    <row r="179" spans="1:9">
      <c r="A179" s="411"/>
      <c r="B179" s="411"/>
      <c r="C179" s="411"/>
      <c r="D179" s="409"/>
      <c r="E179" s="443"/>
      <c r="F179" s="443"/>
      <c r="G179" s="411"/>
      <c r="H179" s="411"/>
      <c r="I179" s="411"/>
    </row>
    <row r="180" spans="1:9">
      <c r="A180" s="411"/>
      <c r="B180" s="411"/>
      <c r="C180" s="411"/>
      <c r="D180" s="409"/>
      <c r="E180" s="443"/>
      <c r="F180" s="443"/>
      <c r="G180" s="411"/>
      <c r="H180" s="411"/>
      <c r="I180" s="411"/>
    </row>
    <row r="181" spans="1:9">
      <c r="A181" s="411"/>
      <c r="B181" s="411"/>
      <c r="C181" s="411"/>
      <c r="D181" s="409"/>
      <c r="E181" s="443"/>
      <c r="F181" s="443"/>
      <c r="G181" s="411"/>
      <c r="H181" s="411"/>
      <c r="I181" s="411"/>
    </row>
    <row r="182" spans="1:9">
      <c r="A182" s="411"/>
      <c r="B182" s="411"/>
      <c r="C182" s="411"/>
      <c r="D182" s="409"/>
      <c r="E182" s="443"/>
      <c r="F182" s="443"/>
      <c r="G182" s="411"/>
      <c r="H182" s="411"/>
      <c r="I182" s="411"/>
    </row>
    <row r="183" spans="1:9">
      <c r="A183" s="411"/>
      <c r="B183" s="411"/>
      <c r="C183" s="411"/>
      <c r="D183" s="409"/>
      <c r="E183" s="443"/>
      <c r="F183" s="443"/>
      <c r="G183" s="411"/>
      <c r="H183" s="411"/>
      <c r="I183" s="411"/>
    </row>
    <row r="184" spans="1:9">
      <c r="A184" s="411"/>
      <c r="B184" s="411"/>
      <c r="C184" s="411"/>
      <c r="D184" s="409"/>
      <c r="E184" s="443"/>
      <c r="F184" s="443"/>
      <c r="G184" s="411"/>
      <c r="H184" s="411"/>
      <c r="I184" s="411"/>
    </row>
    <row r="185" spans="1:9">
      <c r="A185" s="411"/>
      <c r="B185" s="411"/>
      <c r="C185" s="411"/>
      <c r="D185" s="409"/>
      <c r="E185" s="443"/>
      <c r="F185" s="443"/>
      <c r="G185" s="411"/>
      <c r="H185" s="411"/>
      <c r="I185" s="411"/>
    </row>
    <row r="186" spans="1:9">
      <c r="A186" s="411"/>
      <c r="B186" s="411"/>
      <c r="C186" s="411"/>
      <c r="D186" s="409"/>
      <c r="E186" s="443"/>
      <c r="F186" s="443"/>
      <c r="G186" s="411"/>
      <c r="H186" s="411"/>
      <c r="I186" s="411"/>
    </row>
    <row r="187" spans="1:9">
      <c r="A187" s="411"/>
      <c r="B187" s="411"/>
      <c r="C187" s="411"/>
      <c r="D187" s="409"/>
      <c r="E187" s="443"/>
      <c r="F187" s="443"/>
      <c r="G187" s="411"/>
      <c r="H187" s="411"/>
      <c r="I187" s="411"/>
    </row>
    <row r="188" spans="1:9">
      <c r="A188" s="411"/>
      <c r="B188" s="411"/>
      <c r="C188" s="411"/>
      <c r="D188" s="409"/>
      <c r="E188" s="443"/>
      <c r="F188" s="443"/>
      <c r="G188" s="411"/>
      <c r="H188" s="411"/>
      <c r="I188" s="411"/>
    </row>
    <row r="189" spans="1:9">
      <c r="A189" s="411"/>
      <c r="B189" s="411"/>
      <c r="C189" s="411"/>
      <c r="D189" s="409"/>
      <c r="E189" s="443"/>
      <c r="F189" s="443"/>
      <c r="G189" s="411"/>
      <c r="H189" s="411"/>
      <c r="I189" s="411"/>
    </row>
    <row r="190" spans="1:9">
      <c r="A190" s="411"/>
      <c r="B190" s="411"/>
      <c r="C190" s="411"/>
      <c r="D190" s="409"/>
      <c r="E190" s="443"/>
      <c r="F190" s="443"/>
      <c r="G190" s="411"/>
      <c r="H190" s="411"/>
      <c r="I190" s="411"/>
    </row>
    <row r="191" spans="1:9">
      <c r="A191" s="411"/>
      <c r="B191" s="411"/>
      <c r="C191" s="411"/>
      <c r="D191" s="409"/>
      <c r="E191" s="443"/>
      <c r="F191" s="443"/>
      <c r="G191" s="411"/>
      <c r="H191" s="411"/>
      <c r="I191" s="411"/>
    </row>
    <row r="192" spans="1:9">
      <c r="A192" s="411"/>
      <c r="B192" s="411"/>
      <c r="C192" s="411"/>
      <c r="D192" s="409"/>
      <c r="E192" s="443"/>
      <c r="F192" s="443"/>
      <c r="G192" s="411"/>
      <c r="H192" s="411"/>
      <c r="I192" s="411"/>
    </row>
    <row r="193" spans="1:9">
      <c r="A193" s="411"/>
      <c r="B193" s="411"/>
      <c r="C193" s="411"/>
      <c r="D193" s="409"/>
      <c r="E193" s="443"/>
      <c r="F193" s="443"/>
      <c r="G193" s="411"/>
      <c r="H193" s="411"/>
      <c r="I193" s="411"/>
    </row>
    <row r="194" spans="1:9">
      <c r="A194" s="411"/>
      <c r="B194" s="411"/>
      <c r="C194" s="411"/>
      <c r="D194" s="409"/>
      <c r="E194" s="443"/>
      <c r="F194" s="443"/>
      <c r="G194" s="411"/>
      <c r="H194" s="411"/>
      <c r="I194" s="411"/>
    </row>
    <row r="195" spans="1:9">
      <c r="A195" s="411"/>
      <c r="B195" s="411"/>
      <c r="C195" s="411"/>
      <c r="D195" s="409"/>
      <c r="E195" s="443"/>
      <c r="F195" s="443"/>
      <c r="G195" s="411"/>
      <c r="H195" s="411"/>
      <c r="I195" s="411"/>
    </row>
    <row r="196" spans="1:9">
      <c r="A196" s="411"/>
      <c r="B196" s="411"/>
      <c r="C196" s="411"/>
      <c r="D196" s="409"/>
      <c r="E196" s="443"/>
      <c r="F196" s="443"/>
      <c r="G196" s="411"/>
      <c r="H196" s="411"/>
      <c r="I196" s="411"/>
    </row>
    <row r="197" spans="1:9">
      <c r="A197" s="411"/>
      <c r="B197" s="411"/>
      <c r="C197" s="411"/>
      <c r="D197" s="409"/>
      <c r="E197" s="443"/>
      <c r="F197" s="443"/>
      <c r="G197" s="411"/>
      <c r="H197" s="411"/>
      <c r="I197" s="411"/>
    </row>
    <row r="198" spans="1:9">
      <c r="A198" s="411"/>
      <c r="B198" s="411"/>
      <c r="C198" s="411"/>
      <c r="D198" s="409"/>
      <c r="E198" s="443"/>
      <c r="F198" s="443"/>
      <c r="G198" s="411"/>
      <c r="H198" s="411"/>
      <c r="I198" s="411"/>
    </row>
    <row r="199" spans="1:9">
      <c r="A199" s="411"/>
      <c r="B199" s="411"/>
      <c r="C199" s="411"/>
      <c r="D199" s="409"/>
      <c r="E199" s="443"/>
      <c r="F199" s="443"/>
      <c r="G199" s="411"/>
      <c r="H199" s="411"/>
      <c r="I199" s="411"/>
    </row>
    <row r="200" spans="1:9">
      <c r="A200" s="411"/>
      <c r="B200" s="411"/>
      <c r="C200" s="411"/>
      <c r="D200" s="409"/>
      <c r="E200" s="443"/>
      <c r="F200" s="443"/>
      <c r="G200" s="411"/>
      <c r="H200" s="411"/>
      <c r="I200" s="411"/>
    </row>
    <row r="201" spans="1:9">
      <c r="A201" s="411"/>
      <c r="B201" s="411"/>
      <c r="C201" s="411"/>
      <c r="D201" s="409"/>
      <c r="E201" s="443"/>
      <c r="F201" s="443"/>
      <c r="G201" s="411"/>
      <c r="H201" s="411"/>
      <c r="I201" s="411"/>
    </row>
    <row r="202" spans="1:9">
      <c r="A202" s="411"/>
      <c r="B202" s="411"/>
      <c r="C202" s="411"/>
      <c r="D202" s="409"/>
      <c r="E202" s="443"/>
      <c r="F202" s="443"/>
      <c r="G202" s="411"/>
      <c r="H202" s="411"/>
      <c r="I202" s="411"/>
    </row>
    <row r="203" spans="1:9">
      <c r="A203" s="411"/>
      <c r="B203" s="411"/>
      <c r="C203" s="411"/>
      <c r="D203" s="409"/>
      <c r="E203" s="443"/>
      <c r="F203" s="443"/>
      <c r="G203" s="411"/>
      <c r="H203" s="411"/>
      <c r="I203" s="411"/>
    </row>
    <row r="204" spans="1:9">
      <c r="A204" s="411"/>
      <c r="B204" s="411"/>
      <c r="C204" s="411"/>
      <c r="D204" s="409"/>
      <c r="E204" s="443"/>
      <c r="F204" s="443"/>
      <c r="G204" s="411"/>
      <c r="H204" s="411"/>
      <c r="I204" s="411"/>
    </row>
    <row r="205" spans="1:9">
      <c r="A205" s="411"/>
      <c r="B205" s="411"/>
      <c r="C205" s="411"/>
      <c r="D205" s="409"/>
      <c r="E205" s="443"/>
      <c r="F205" s="443"/>
      <c r="G205" s="411"/>
      <c r="H205" s="411"/>
      <c r="I205" s="411"/>
    </row>
    <row r="206" spans="1:9">
      <c r="A206" s="411"/>
      <c r="B206" s="411"/>
      <c r="C206" s="411"/>
      <c r="D206" s="409"/>
      <c r="E206" s="443"/>
      <c r="F206" s="443"/>
      <c r="G206" s="411"/>
      <c r="H206" s="411"/>
      <c r="I206" s="411"/>
    </row>
    <row r="207" spans="1:9">
      <c r="A207" s="411"/>
      <c r="B207" s="411"/>
      <c r="C207" s="411"/>
      <c r="D207" s="409"/>
      <c r="E207" s="443"/>
      <c r="F207" s="443"/>
      <c r="G207" s="411"/>
      <c r="H207" s="411"/>
      <c r="I207" s="411"/>
    </row>
    <row r="208" spans="1:9">
      <c r="A208" s="411"/>
      <c r="B208" s="411"/>
      <c r="C208" s="411"/>
      <c r="D208" s="409"/>
      <c r="E208" s="443"/>
      <c r="F208" s="443"/>
      <c r="G208" s="411"/>
      <c r="H208" s="411"/>
      <c r="I208" s="411"/>
    </row>
    <row r="209" spans="1:9">
      <c r="A209" s="411"/>
      <c r="B209" s="411"/>
      <c r="C209" s="411"/>
      <c r="D209" s="409"/>
      <c r="E209" s="443"/>
      <c r="F209" s="443"/>
      <c r="G209" s="411"/>
      <c r="H209" s="411"/>
      <c r="I209" s="411"/>
    </row>
    <row r="210" spans="1:9">
      <c r="A210" s="411"/>
      <c r="B210" s="411"/>
      <c r="C210" s="411"/>
      <c r="D210" s="409"/>
      <c r="E210" s="443"/>
      <c r="F210" s="443"/>
      <c r="G210" s="411"/>
      <c r="H210" s="411"/>
      <c r="I210" s="411"/>
    </row>
    <row r="211" spans="1:9">
      <c r="A211" s="411"/>
      <c r="B211" s="411"/>
      <c r="C211" s="411"/>
      <c r="D211" s="409"/>
      <c r="E211" s="443"/>
      <c r="F211" s="443"/>
      <c r="G211" s="411"/>
      <c r="H211" s="411"/>
      <c r="I211" s="411"/>
    </row>
    <row r="212" spans="1:9">
      <c r="A212" s="411"/>
      <c r="B212" s="411"/>
      <c r="C212" s="411"/>
      <c r="D212" s="409"/>
      <c r="E212" s="443"/>
      <c r="F212" s="443"/>
      <c r="G212" s="411"/>
      <c r="H212" s="411"/>
      <c r="I212" s="411"/>
    </row>
    <row r="213" spans="1:9">
      <c r="A213" s="411"/>
      <c r="B213" s="411"/>
      <c r="C213" s="411"/>
      <c r="D213" s="409"/>
      <c r="E213" s="443"/>
      <c r="F213" s="443"/>
      <c r="G213" s="411"/>
      <c r="H213" s="411"/>
      <c r="I213" s="411"/>
    </row>
    <row r="214" spans="1:9">
      <c r="A214" s="411"/>
      <c r="B214" s="411"/>
      <c r="C214" s="411"/>
      <c r="D214" s="409"/>
      <c r="E214" s="443"/>
      <c r="F214" s="443"/>
      <c r="G214" s="411"/>
      <c r="H214" s="411"/>
      <c r="I214" s="411"/>
    </row>
    <row r="215" spans="1:9">
      <c r="A215" s="411"/>
      <c r="B215" s="411"/>
      <c r="C215" s="411"/>
      <c r="D215" s="409"/>
      <c r="E215" s="443"/>
      <c r="F215" s="443"/>
      <c r="G215" s="411"/>
      <c r="H215" s="411"/>
      <c r="I215" s="411"/>
    </row>
    <row r="216" spans="1:9">
      <c r="A216" s="411"/>
      <c r="B216" s="411"/>
      <c r="C216" s="411"/>
      <c r="D216" s="409"/>
      <c r="E216" s="443"/>
      <c r="F216" s="443"/>
      <c r="G216" s="411"/>
      <c r="H216" s="411"/>
      <c r="I216" s="411"/>
    </row>
    <row r="217" spans="1:9">
      <c r="A217" s="411"/>
      <c r="B217" s="411"/>
      <c r="C217" s="411"/>
      <c r="D217" s="409"/>
      <c r="E217" s="443"/>
      <c r="F217" s="443"/>
      <c r="G217" s="411"/>
      <c r="H217" s="411"/>
      <c r="I217" s="411"/>
    </row>
    <row r="218" spans="1:9">
      <c r="A218" s="411"/>
      <c r="B218" s="411"/>
      <c r="C218" s="411"/>
      <c r="D218" s="409"/>
      <c r="E218" s="443"/>
      <c r="F218" s="443"/>
      <c r="G218" s="411"/>
      <c r="H218" s="411"/>
      <c r="I218" s="411"/>
    </row>
    <row r="219" spans="1:9">
      <c r="A219" s="411"/>
      <c r="B219" s="411"/>
      <c r="C219" s="411"/>
      <c r="D219" s="409"/>
      <c r="E219" s="443"/>
      <c r="F219" s="443"/>
      <c r="G219" s="411"/>
      <c r="H219" s="411"/>
      <c r="I219" s="411"/>
    </row>
    <row r="220" spans="1:9">
      <c r="A220" s="411"/>
      <c r="B220" s="411"/>
      <c r="C220" s="411"/>
      <c r="D220" s="409"/>
      <c r="E220" s="443"/>
      <c r="F220" s="443"/>
      <c r="G220" s="411"/>
      <c r="H220" s="411"/>
      <c r="I220" s="411"/>
    </row>
    <row r="221" spans="1:9">
      <c r="A221" s="411"/>
      <c r="B221" s="411"/>
      <c r="C221" s="411"/>
      <c r="D221" s="409"/>
      <c r="E221" s="443"/>
      <c r="F221" s="443"/>
      <c r="G221" s="411"/>
      <c r="H221" s="411"/>
      <c r="I221" s="411"/>
    </row>
    <row r="222" spans="1:9">
      <c r="A222" s="411"/>
      <c r="B222" s="411"/>
      <c r="C222" s="411"/>
      <c r="D222" s="409"/>
      <c r="E222" s="443"/>
      <c r="F222" s="443"/>
      <c r="G222" s="411"/>
      <c r="H222" s="411"/>
      <c r="I222" s="411"/>
    </row>
    <row r="223" spans="1:9">
      <c r="A223" s="411"/>
      <c r="B223" s="411"/>
      <c r="C223" s="411"/>
      <c r="D223" s="409"/>
      <c r="E223" s="443"/>
      <c r="F223" s="443"/>
      <c r="G223" s="411"/>
      <c r="H223" s="411"/>
      <c r="I223" s="411"/>
    </row>
    <row r="224" spans="1:9">
      <c r="A224" s="411"/>
      <c r="B224" s="411"/>
      <c r="C224" s="411"/>
      <c r="D224" s="409"/>
      <c r="E224" s="443"/>
      <c r="F224" s="443"/>
      <c r="G224" s="411"/>
      <c r="H224" s="411"/>
      <c r="I224" s="411"/>
    </row>
    <row r="225" spans="1:9">
      <c r="A225" s="411"/>
      <c r="B225" s="411"/>
      <c r="C225" s="411"/>
      <c r="D225" s="409"/>
      <c r="E225" s="443"/>
      <c r="F225" s="443"/>
      <c r="G225" s="411"/>
      <c r="H225" s="411"/>
      <c r="I225" s="411"/>
    </row>
    <row r="226" spans="1:9">
      <c r="A226" s="411"/>
      <c r="B226" s="411"/>
      <c r="C226" s="411"/>
      <c r="D226" s="409"/>
      <c r="E226" s="443"/>
      <c r="F226" s="443"/>
      <c r="G226" s="411"/>
      <c r="H226" s="411"/>
      <c r="I226" s="411"/>
    </row>
    <row r="227" spans="1:9">
      <c r="A227" s="411"/>
      <c r="B227" s="411"/>
      <c r="C227" s="411"/>
      <c r="D227" s="409"/>
      <c r="E227" s="443"/>
      <c r="F227" s="443"/>
      <c r="G227" s="411"/>
      <c r="H227" s="411"/>
      <c r="I227" s="411"/>
    </row>
    <row r="228" spans="1:9">
      <c r="A228" s="411"/>
      <c r="B228" s="411"/>
      <c r="C228" s="411"/>
      <c r="D228" s="409"/>
      <c r="E228" s="443"/>
      <c r="F228" s="443"/>
      <c r="G228" s="411"/>
      <c r="H228" s="411"/>
      <c r="I228" s="411"/>
    </row>
    <row r="229" spans="1:9">
      <c r="A229" s="411"/>
      <c r="B229" s="411"/>
      <c r="C229" s="411"/>
      <c r="D229" s="409"/>
      <c r="E229" s="443"/>
      <c r="F229" s="443"/>
      <c r="G229" s="411"/>
      <c r="H229" s="411"/>
      <c r="I229" s="411"/>
    </row>
    <row r="230" spans="1:9">
      <c r="A230" s="411"/>
      <c r="B230" s="411"/>
      <c r="C230" s="411"/>
      <c r="D230" s="409"/>
      <c r="E230" s="443"/>
      <c r="F230" s="443"/>
      <c r="G230" s="411"/>
      <c r="H230" s="411"/>
      <c r="I230" s="411"/>
    </row>
    <row r="231" spans="1:9">
      <c r="A231" s="411"/>
      <c r="B231" s="411"/>
      <c r="C231" s="411"/>
      <c r="D231" s="409"/>
      <c r="E231" s="443"/>
      <c r="F231" s="443"/>
      <c r="G231" s="411"/>
      <c r="H231" s="411"/>
      <c r="I231" s="411"/>
    </row>
    <row r="232" spans="1:9">
      <c r="A232" s="411"/>
      <c r="B232" s="411"/>
      <c r="C232" s="411"/>
      <c r="D232" s="409"/>
      <c r="E232" s="443"/>
      <c r="F232" s="443"/>
      <c r="G232" s="411"/>
      <c r="H232" s="411"/>
      <c r="I232" s="411"/>
    </row>
    <row r="233" spans="1:9">
      <c r="A233" s="411"/>
      <c r="B233" s="411"/>
      <c r="C233" s="411"/>
      <c r="D233" s="409"/>
      <c r="E233" s="443"/>
      <c r="F233" s="443"/>
      <c r="G233" s="411"/>
      <c r="H233" s="411"/>
      <c r="I233" s="411"/>
    </row>
    <row r="234" spans="1:9">
      <c r="A234" s="411"/>
      <c r="B234" s="411"/>
      <c r="C234" s="411"/>
      <c r="D234" s="409"/>
      <c r="E234" s="443"/>
      <c r="F234" s="443"/>
      <c r="G234" s="411"/>
      <c r="H234" s="411"/>
      <c r="I234" s="411"/>
    </row>
    <row r="235" spans="1:9">
      <c r="A235" s="411"/>
      <c r="B235" s="411"/>
      <c r="C235" s="411"/>
      <c r="D235" s="409"/>
      <c r="E235" s="443"/>
      <c r="F235" s="443"/>
      <c r="G235" s="411"/>
      <c r="H235" s="411"/>
      <c r="I235" s="411"/>
    </row>
    <row r="236" spans="1:9">
      <c r="A236" s="411"/>
      <c r="B236" s="411"/>
      <c r="C236" s="411"/>
      <c r="D236" s="409"/>
      <c r="E236" s="443"/>
      <c r="F236" s="443"/>
      <c r="G236" s="411"/>
      <c r="H236" s="411"/>
      <c r="I236" s="411"/>
    </row>
    <row r="237" spans="1:9">
      <c r="A237" s="411"/>
      <c r="B237" s="411"/>
      <c r="C237" s="411"/>
      <c r="D237" s="409"/>
      <c r="E237" s="443"/>
      <c r="F237" s="443"/>
      <c r="G237" s="411"/>
      <c r="H237" s="411"/>
      <c r="I237" s="411"/>
    </row>
    <row r="238" spans="1:9">
      <c r="A238" s="411"/>
      <c r="B238" s="411"/>
      <c r="C238" s="411"/>
      <c r="D238" s="409"/>
      <c r="E238" s="443"/>
      <c r="F238" s="443"/>
      <c r="G238" s="411"/>
      <c r="H238" s="411"/>
      <c r="I238" s="411"/>
    </row>
    <row r="239" spans="1:9">
      <c r="A239" s="411"/>
      <c r="B239" s="411"/>
      <c r="C239" s="411"/>
      <c r="D239" s="409"/>
      <c r="E239" s="443"/>
      <c r="F239" s="443"/>
      <c r="G239" s="411"/>
      <c r="H239" s="411"/>
      <c r="I239" s="411"/>
    </row>
    <row r="240" spans="1:9">
      <c r="A240" s="411"/>
      <c r="B240" s="411"/>
      <c r="C240" s="411"/>
      <c r="D240" s="409"/>
      <c r="E240" s="443"/>
      <c r="F240" s="443"/>
      <c r="G240" s="411"/>
      <c r="H240" s="411"/>
      <c r="I240" s="411"/>
    </row>
    <row r="241" spans="1:9">
      <c r="A241" s="411"/>
      <c r="B241" s="411"/>
      <c r="C241" s="411"/>
      <c r="D241" s="409"/>
      <c r="E241" s="443"/>
      <c r="F241" s="443"/>
      <c r="G241" s="411"/>
      <c r="H241" s="411"/>
      <c r="I241" s="411"/>
    </row>
    <row r="242" spans="1:9">
      <c r="A242" s="411"/>
      <c r="B242" s="411"/>
      <c r="C242" s="411"/>
      <c r="D242" s="409"/>
      <c r="E242" s="443"/>
      <c r="F242" s="443"/>
      <c r="G242" s="411"/>
      <c r="H242" s="411"/>
      <c r="I242" s="411"/>
    </row>
    <row r="243" spans="1:9">
      <c r="A243" s="411"/>
      <c r="B243" s="411"/>
      <c r="C243" s="411"/>
      <c r="D243" s="409"/>
      <c r="E243" s="443"/>
      <c r="F243" s="443"/>
      <c r="G243" s="411"/>
      <c r="H243" s="411"/>
      <c r="I243" s="411"/>
    </row>
    <row r="244" spans="1:9">
      <c r="A244" s="411"/>
      <c r="B244" s="411"/>
      <c r="C244" s="411"/>
      <c r="D244" s="409"/>
      <c r="E244" s="443"/>
      <c r="F244" s="443"/>
      <c r="G244" s="411"/>
      <c r="H244" s="411"/>
      <c r="I244" s="411"/>
    </row>
    <row r="245" spans="1:9">
      <c r="A245" s="411"/>
      <c r="B245" s="411"/>
      <c r="C245" s="411"/>
      <c r="D245" s="409"/>
      <c r="E245" s="443"/>
      <c r="F245" s="443"/>
      <c r="G245" s="411"/>
      <c r="H245" s="411"/>
      <c r="I245" s="411"/>
    </row>
    <row r="246" spans="1:9">
      <c r="A246" s="411"/>
      <c r="B246" s="411"/>
      <c r="C246" s="411"/>
      <c r="D246" s="409"/>
      <c r="E246" s="443"/>
      <c r="F246" s="443"/>
      <c r="G246" s="411"/>
      <c r="H246" s="411"/>
      <c r="I246" s="411"/>
    </row>
    <row r="247" spans="1:9">
      <c r="A247" s="411"/>
      <c r="B247" s="411"/>
      <c r="C247" s="411"/>
      <c r="D247" s="409"/>
      <c r="E247" s="443"/>
      <c r="F247" s="443"/>
      <c r="G247" s="411"/>
      <c r="H247" s="411"/>
      <c r="I247" s="411"/>
    </row>
    <row r="248" spans="1:9">
      <c r="A248" s="411"/>
      <c r="B248" s="411"/>
      <c r="C248" s="411"/>
      <c r="D248" s="409"/>
      <c r="E248" s="443"/>
      <c r="F248" s="443"/>
      <c r="G248" s="411"/>
      <c r="H248" s="411"/>
      <c r="I248" s="411"/>
    </row>
    <row r="249" spans="1:9">
      <c r="A249" s="411"/>
      <c r="B249" s="411"/>
      <c r="C249" s="411"/>
      <c r="D249" s="409"/>
      <c r="E249" s="443"/>
      <c r="F249" s="443"/>
      <c r="G249" s="411"/>
      <c r="H249" s="411"/>
      <c r="I249" s="411"/>
    </row>
    <row r="250" spans="1:9">
      <c r="A250" s="411"/>
      <c r="B250" s="411"/>
      <c r="C250" s="411"/>
      <c r="D250" s="409"/>
      <c r="E250" s="443"/>
      <c r="F250" s="443"/>
      <c r="G250" s="411"/>
      <c r="H250" s="411"/>
      <c r="I250" s="411"/>
    </row>
    <row r="251" spans="1:9">
      <c r="A251" s="411"/>
      <c r="B251" s="411"/>
      <c r="C251" s="411"/>
      <c r="D251" s="409"/>
      <c r="E251" s="443"/>
      <c r="F251" s="443"/>
      <c r="G251" s="411"/>
      <c r="H251" s="411"/>
      <c r="I251" s="411"/>
    </row>
    <row r="252" spans="1:9">
      <c r="A252" s="411"/>
      <c r="B252" s="411"/>
      <c r="C252" s="411"/>
      <c r="D252" s="409"/>
      <c r="E252" s="443"/>
      <c r="F252" s="443"/>
      <c r="G252" s="411"/>
      <c r="H252" s="411"/>
      <c r="I252" s="411"/>
    </row>
    <row r="253" spans="1:9">
      <c r="A253" s="411"/>
      <c r="B253" s="411"/>
      <c r="C253" s="411"/>
      <c r="D253" s="409"/>
      <c r="E253" s="443"/>
      <c r="F253" s="443"/>
      <c r="G253" s="411"/>
      <c r="H253" s="411"/>
      <c r="I253" s="411"/>
    </row>
    <row r="254" spans="1:9">
      <c r="A254" s="411"/>
      <c r="B254" s="411"/>
      <c r="C254" s="411"/>
      <c r="D254" s="409"/>
      <c r="E254" s="443"/>
      <c r="F254" s="443"/>
      <c r="G254" s="411"/>
      <c r="H254" s="411"/>
      <c r="I254" s="411"/>
    </row>
    <row r="255" spans="1:9">
      <c r="A255" s="411"/>
      <c r="B255" s="411"/>
      <c r="C255" s="411"/>
      <c r="D255" s="409"/>
      <c r="E255" s="443"/>
      <c r="F255" s="443"/>
      <c r="G255" s="411"/>
      <c r="H255" s="411"/>
      <c r="I255" s="411"/>
    </row>
    <row r="256" spans="1:9">
      <c r="A256" s="411"/>
      <c r="B256" s="411"/>
      <c r="C256" s="411"/>
      <c r="D256" s="409"/>
      <c r="E256" s="443"/>
      <c r="F256" s="443"/>
      <c r="G256" s="411"/>
      <c r="H256" s="411"/>
      <c r="I256" s="411"/>
    </row>
    <row r="257" spans="1:9">
      <c r="A257" s="411"/>
      <c r="B257" s="411"/>
      <c r="C257" s="411"/>
      <c r="D257" s="409"/>
      <c r="E257" s="443"/>
      <c r="F257" s="443"/>
      <c r="G257" s="411"/>
      <c r="H257" s="411"/>
      <c r="I257" s="411"/>
    </row>
    <row r="258" spans="1:9">
      <c r="A258" s="411"/>
      <c r="B258" s="411"/>
      <c r="C258" s="411"/>
      <c r="D258" s="409"/>
      <c r="E258" s="443"/>
      <c r="F258" s="443"/>
      <c r="G258" s="411"/>
      <c r="H258" s="411"/>
      <c r="I258" s="411"/>
    </row>
    <row r="259" spans="1:9">
      <c r="A259" s="411"/>
      <c r="B259" s="411"/>
      <c r="C259" s="411"/>
      <c r="D259" s="409"/>
      <c r="E259" s="443"/>
      <c r="F259" s="443"/>
      <c r="G259" s="411"/>
      <c r="H259" s="411"/>
      <c r="I259" s="411"/>
    </row>
    <row r="260" spans="1:9">
      <c r="A260" s="411"/>
      <c r="B260" s="411"/>
      <c r="C260" s="411"/>
      <c r="D260" s="409"/>
      <c r="E260" s="443"/>
      <c r="F260" s="443"/>
      <c r="G260" s="411"/>
      <c r="H260" s="411"/>
      <c r="I260" s="411"/>
    </row>
    <row r="261" spans="1:9">
      <c r="A261" s="411"/>
      <c r="B261" s="411"/>
      <c r="C261" s="411"/>
      <c r="D261" s="409"/>
      <c r="E261" s="443"/>
      <c r="F261" s="443"/>
      <c r="G261" s="411"/>
      <c r="H261" s="411"/>
      <c r="I261" s="411"/>
    </row>
    <row r="262" spans="1:9">
      <c r="A262" s="411"/>
      <c r="B262" s="411"/>
      <c r="C262" s="411"/>
      <c r="D262" s="409"/>
      <c r="E262" s="443"/>
      <c r="F262" s="443"/>
      <c r="G262" s="411"/>
      <c r="H262" s="411"/>
      <c r="I262" s="411"/>
    </row>
    <row r="263" spans="1:9">
      <c r="A263" s="411"/>
      <c r="B263" s="411"/>
      <c r="C263" s="411"/>
      <c r="D263" s="409"/>
      <c r="E263" s="443"/>
      <c r="F263" s="443"/>
      <c r="G263" s="411"/>
      <c r="H263" s="411"/>
      <c r="I263" s="411"/>
    </row>
    <row r="264" spans="1:9">
      <c r="A264" s="411"/>
      <c r="B264" s="411"/>
      <c r="C264" s="411"/>
      <c r="D264" s="409"/>
      <c r="E264" s="443"/>
      <c r="F264" s="443"/>
      <c r="G264" s="411"/>
      <c r="H264" s="411"/>
      <c r="I264" s="411"/>
    </row>
    <row r="265" spans="1:9">
      <c r="A265" s="411"/>
      <c r="B265" s="411"/>
      <c r="C265" s="411"/>
      <c r="D265" s="409"/>
      <c r="E265" s="443"/>
      <c r="F265" s="443"/>
      <c r="G265" s="411"/>
      <c r="H265" s="411"/>
      <c r="I265" s="411"/>
    </row>
    <row r="266" spans="1:9">
      <c r="A266" s="411"/>
      <c r="B266" s="411"/>
      <c r="C266" s="411"/>
      <c r="D266" s="409"/>
      <c r="E266" s="443"/>
      <c r="F266" s="443"/>
      <c r="G266" s="411"/>
      <c r="H266" s="411"/>
      <c r="I266" s="411"/>
    </row>
    <row r="267" spans="1:9">
      <c r="A267" s="411"/>
      <c r="B267" s="411"/>
      <c r="C267" s="411"/>
      <c r="D267" s="409"/>
      <c r="E267" s="443"/>
      <c r="F267" s="443"/>
      <c r="G267" s="411"/>
      <c r="H267" s="411"/>
      <c r="I267" s="411"/>
    </row>
    <row r="268" spans="1:9">
      <c r="A268" s="411"/>
      <c r="B268" s="411"/>
      <c r="C268" s="411"/>
      <c r="D268" s="409"/>
      <c r="E268" s="443"/>
      <c r="F268" s="443"/>
      <c r="G268" s="411"/>
      <c r="H268" s="411"/>
      <c r="I268" s="411"/>
    </row>
    <row r="269" spans="1:9">
      <c r="A269" s="411"/>
      <c r="B269" s="411"/>
      <c r="C269" s="411"/>
      <c r="D269" s="409"/>
      <c r="E269" s="443"/>
      <c r="F269" s="443"/>
      <c r="G269" s="411"/>
      <c r="H269" s="411"/>
      <c r="I269" s="411"/>
    </row>
    <row r="270" spans="1:9">
      <c r="A270" s="411"/>
      <c r="B270" s="411"/>
      <c r="C270" s="411"/>
      <c r="D270" s="409"/>
      <c r="E270" s="443"/>
      <c r="F270" s="443"/>
      <c r="G270" s="411"/>
      <c r="H270" s="411"/>
      <c r="I270" s="411"/>
    </row>
    <row r="271" spans="1:9">
      <c r="A271" s="411"/>
      <c r="B271" s="411"/>
      <c r="C271" s="411"/>
      <c r="D271" s="409"/>
      <c r="E271" s="443"/>
      <c r="F271" s="443"/>
      <c r="G271" s="411"/>
      <c r="H271" s="411"/>
      <c r="I271" s="411"/>
    </row>
    <row r="272" spans="1:9">
      <c r="A272" s="411"/>
      <c r="B272" s="411"/>
      <c r="C272" s="411"/>
      <c r="D272" s="409"/>
      <c r="E272" s="443"/>
      <c r="F272" s="443"/>
      <c r="G272" s="411"/>
      <c r="H272" s="411"/>
      <c r="I272" s="411"/>
    </row>
    <row r="273" spans="1:9">
      <c r="A273" s="411"/>
      <c r="B273" s="411"/>
      <c r="C273" s="411"/>
      <c r="D273" s="409"/>
      <c r="E273" s="443"/>
      <c r="F273" s="443"/>
      <c r="G273" s="411"/>
      <c r="H273" s="411"/>
      <c r="I273" s="411"/>
    </row>
    <row r="274" spans="1:9">
      <c r="A274" s="411"/>
      <c r="B274" s="411"/>
      <c r="C274" s="411"/>
      <c r="D274" s="409"/>
      <c r="E274" s="443"/>
      <c r="F274" s="443"/>
      <c r="G274" s="411"/>
      <c r="H274" s="411"/>
      <c r="I274" s="411"/>
    </row>
    <row r="275" spans="1:9">
      <c r="A275" s="411"/>
      <c r="B275" s="411"/>
      <c r="C275" s="411"/>
      <c r="D275" s="409"/>
      <c r="E275" s="443"/>
      <c r="F275" s="443"/>
      <c r="G275" s="411"/>
      <c r="H275" s="411"/>
      <c r="I275" s="411"/>
    </row>
    <row r="276" spans="1:9">
      <c r="A276" s="411"/>
      <c r="B276" s="411"/>
      <c r="C276" s="411"/>
      <c r="D276" s="409"/>
      <c r="E276" s="443"/>
      <c r="F276" s="443"/>
      <c r="G276" s="411"/>
      <c r="H276" s="411"/>
      <c r="I276" s="411"/>
    </row>
    <row r="277" spans="1:9">
      <c r="A277" s="411"/>
      <c r="B277" s="411"/>
      <c r="C277" s="411"/>
      <c r="D277" s="409"/>
      <c r="E277" s="443"/>
      <c r="F277" s="443"/>
      <c r="G277" s="411"/>
      <c r="H277" s="411"/>
      <c r="I277" s="411"/>
    </row>
    <row r="278" spans="1:9">
      <c r="A278" s="411"/>
      <c r="B278" s="411"/>
      <c r="C278" s="411"/>
      <c r="D278" s="409"/>
      <c r="E278" s="443"/>
      <c r="F278" s="443"/>
      <c r="G278" s="411"/>
      <c r="H278" s="411"/>
      <c r="I278" s="411"/>
    </row>
    <row r="279" spans="1:9">
      <c r="A279" s="411"/>
      <c r="B279" s="411"/>
      <c r="C279" s="411"/>
      <c r="D279" s="409"/>
      <c r="E279" s="443"/>
      <c r="F279" s="443"/>
      <c r="G279" s="411"/>
      <c r="H279" s="411"/>
      <c r="I279" s="411"/>
    </row>
    <row r="280" spans="1:9">
      <c r="A280" s="411"/>
      <c r="B280" s="411"/>
      <c r="C280" s="411"/>
      <c r="D280" s="409"/>
      <c r="E280" s="443"/>
      <c r="F280" s="443"/>
      <c r="G280" s="411"/>
      <c r="H280" s="411"/>
      <c r="I280" s="411"/>
    </row>
    <row r="281" spans="1:9">
      <c r="A281" s="411"/>
      <c r="B281" s="411"/>
      <c r="C281" s="411"/>
      <c r="D281" s="409"/>
      <c r="E281" s="443"/>
      <c r="F281" s="443"/>
      <c r="G281" s="411"/>
      <c r="H281" s="411"/>
      <c r="I281" s="411"/>
    </row>
    <row r="282" spans="1:9">
      <c r="A282" s="411"/>
      <c r="B282" s="411"/>
      <c r="C282" s="411"/>
      <c r="D282" s="409"/>
      <c r="E282" s="443"/>
      <c r="F282" s="443"/>
      <c r="G282" s="411"/>
      <c r="H282" s="411"/>
      <c r="I282" s="411"/>
    </row>
    <row r="283" spans="1:9">
      <c r="A283" s="411"/>
      <c r="B283" s="411"/>
      <c r="C283" s="411"/>
      <c r="D283" s="409"/>
      <c r="E283" s="443"/>
      <c r="F283" s="443"/>
      <c r="G283" s="411"/>
      <c r="H283" s="411"/>
      <c r="I283" s="411"/>
    </row>
    <row r="284" spans="1:9">
      <c r="A284" s="411"/>
      <c r="B284" s="411"/>
      <c r="C284" s="411"/>
      <c r="D284" s="409"/>
      <c r="E284" s="443"/>
      <c r="F284" s="443"/>
      <c r="G284" s="411"/>
      <c r="H284" s="411"/>
      <c r="I284" s="411"/>
    </row>
    <row r="285" spans="1:9">
      <c r="A285" s="411"/>
      <c r="B285" s="411"/>
      <c r="C285" s="411"/>
      <c r="D285" s="409"/>
      <c r="E285" s="443"/>
      <c r="F285" s="443"/>
      <c r="G285" s="411"/>
      <c r="H285" s="411"/>
      <c r="I285" s="411"/>
    </row>
    <row r="286" spans="1:9">
      <c r="A286" s="411"/>
      <c r="B286" s="411"/>
      <c r="C286" s="411"/>
      <c r="D286" s="409"/>
      <c r="E286" s="443"/>
      <c r="F286" s="443"/>
      <c r="G286" s="411"/>
      <c r="H286" s="411"/>
      <c r="I286" s="411"/>
    </row>
    <row r="287" spans="1:9">
      <c r="A287" s="411"/>
      <c r="B287" s="411"/>
      <c r="C287" s="411"/>
      <c r="D287" s="409"/>
      <c r="E287" s="443"/>
      <c r="F287" s="443"/>
      <c r="G287" s="411"/>
      <c r="H287" s="411"/>
      <c r="I287" s="411"/>
    </row>
    <row r="288" spans="1:9">
      <c r="A288" s="411"/>
      <c r="B288" s="411"/>
      <c r="C288" s="411"/>
      <c r="D288" s="409"/>
      <c r="E288" s="443"/>
      <c r="F288" s="443"/>
      <c r="G288" s="411"/>
      <c r="H288" s="411"/>
      <c r="I288" s="411"/>
    </row>
    <row r="289" spans="1:9">
      <c r="A289" s="411"/>
      <c r="B289" s="411"/>
      <c r="C289" s="411"/>
      <c r="D289" s="409"/>
      <c r="E289" s="443"/>
      <c r="F289" s="443"/>
      <c r="G289" s="411"/>
      <c r="H289" s="411"/>
      <c r="I289" s="411"/>
    </row>
    <row r="290" spans="1:9">
      <c r="A290" s="411"/>
      <c r="B290" s="411"/>
      <c r="C290" s="411"/>
      <c r="D290" s="409"/>
      <c r="E290" s="443"/>
      <c r="F290" s="443"/>
      <c r="G290" s="411"/>
      <c r="H290" s="411"/>
      <c r="I290" s="411"/>
    </row>
    <row r="291" spans="1:9">
      <c r="A291" s="411"/>
      <c r="B291" s="411"/>
      <c r="C291" s="411"/>
      <c r="D291" s="409"/>
      <c r="E291" s="443"/>
      <c r="F291" s="443"/>
      <c r="G291" s="411"/>
      <c r="H291" s="411"/>
      <c r="I291" s="411"/>
    </row>
    <row r="292" spans="1:9">
      <c r="A292" s="411"/>
      <c r="B292" s="411"/>
      <c r="C292" s="411"/>
      <c r="D292" s="409"/>
      <c r="E292" s="443"/>
      <c r="F292" s="443"/>
      <c r="G292" s="411"/>
      <c r="H292" s="411"/>
      <c r="I292" s="411"/>
    </row>
    <row r="293" spans="1:9">
      <c r="A293" s="411"/>
      <c r="B293" s="411"/>
      <c r="C293" s="411"/>
      <c r="D293" s="409"/>
      <c r="E293" s="443"/>
      <c r="F293" s="443"/>
      <c r="G293" s="411"/>
      <c r="H293" s="411"/>
      <c r="I293" s="411"/>
    </row>
    <row r="294" spans="1:9">
      <c r="A294" s="411"/>
      <c r="B294" s="411"/>
      <c r="C294" s="411"/>
      <c r="D294" s="409"/>
      <c r="E294" s="443"/>
      <c r="F294" s="443"/>
      <c r="G294" s="411"/>
      <c r="H294" s="411"/>
      <c r="I294" s="411"/>
    </row>
    <row r="295" spans="1:9">
      <c r="A295" s="411"/>
      <c r="B295" s="411"/>
      <c r="C295" s="411"/>
      <c r="D295" s="409"/>
      <c r="E295" s="443"/>
      <c r="F295" s="443"/>
      <c r="G295" s="411"/>
      <c r="H295" s="411"/>
      <c r="I295" s="411"/>
    </row>
    <row r="296" spans="1:9">
      <c r="A296" s="411"/>
      <c r="B296" s="411"/>
      <c r="C296" s="411"/>
      <c r="D296" s="409"/>
      <c r="E296" s="443"/>
      <c r="F296" s="443"/>
      <c r="G296" s="411"/>
      <c r="H296" s="411"/>
      <c r="I296" s="411"/>
    </row>
    <row r="297" spans="1:9">
      <c r="A297" s="411"/>
      <c r="B297" s="411"/>
      <c r="C297" s="411"/>
      <c r="D297" s="409"/>
      <c r="E297" s="443"/>
      <c r="F297" s="443"/>
      <c r="G297" s="411"/>
      <c r="H297" s="411"/>
      <c r="I297" s="411"/>
    </row>
    <row r="298" spans="1:9">
      <c r="A298" s="411"/>
      <c r="B298" s="411"/>
      <c r="C298" s="411"/>
      <c r="D298" s="409"/>
      <c r="E298" s="443"/>
      <c r="F298" s="443"/>
      <c r="G298" s="411"/>
      <c r="H298" s="411"/>
      <c r="I298" s="411"/>
    </row>
    <row r="299" spans="1:9">
      <c r="A299" s="411"/>
      <c r="B299" s="411"/>
      <c r="C299" s="411"/>
      <c r="D299" s="409"/>
      <c r="E299" s="443"/>
      <c r="F299" s="443"/>
      <c r="G299" s="411"/>
      <c r="H299" s="411"/>
      <c r="I299" s="411"/>
    </row>
    <row r="300" spans="1:9">
      <c r="A300" s="411"/>
      <c r="B300" s="411"/>
      <c r="C300" s="411"/>
      <c r="D300" s="409"/>
      <c r="E300" s="443"/>
      <c r="F300" s="443"/>
      <c r="G300" s="411"/>
      <c r="H300" s="411"/>
      <c r="I300" s="411"/>
    </row>
    <row r="301" spans="1:9">
      <c r="A301" s="411"/>
      <c r="B301" s="411"/>
      <c r="C301" s="411"/>
      <c r="D301" s="409"/>
      <c r="E301" s="443"/>
      <c r="F301" s="443"/>
      <c r="G301" s="411"/>
      <c r="H301" s="411"/>
      <c r="I301" s="411"/>
    </row>
    <row r="302" spans="1:9">
      <c r="A302" s="411"/>
      <c r="B302" s="411"/>
      <c r="C302" s="411"/>
      <c r="D302" s="409"/>
      <c r="E302" s="443"/>
      <c r="F302" s="443"/>
      <c r="G302" s="411"/>
      <c r="H302" s="411"/>
      <c r="I302" s="411"/>
    </row>
    <row r="303" spans="1:9">
      <c r="A303" s="411"/>
      <c r="B303" s="411"/>
      <c r="C303" s="411"/>
      <c r="D303" s="409"/>
      <c r="E303" s="443"/>
      <c r="F303" s="443"/>
      <c r="G303" s="411"/>
      <c r="H303" s="411"/>
      <c r="I303" s="411"/>
    </row>
    <row r="304" spans="1:9">
      <c r="A304" s="411"/>
      <c r="B304" s="411"/>
      <c r="C304" s="411"/>
      <c r="D304" s="409"/>
      <c r="E304" s="443"/>
      <c r="F304" s="443"/>
      <c r="G304" s="411"/>
      <c r="H304" s="411"/>
      <c r="I304" s="411"/>
    </row>
    <row r="305" spans="1:9">
      <c r="A305" s="411"/>
      <c r="B305" s="411"/>
      <c r="C305" s="411"/>
      <c r="D305" s="409"/>
      <c r="E305" s="443"/>
      <c r="F305" s="443"/>
      <c r="G305" s="411"/>
      <c r="H305" s="411"/>
      <c r="I305" s="411"/>
    </row>
    <row r="306" spans="1:9">
      <c r="A306" s="411"/>
      <c r="B306" s="411"/>
      <c r="C306" s="411"/>
      <c r="D306" s="409"/>
      <c r="E306" s="443"/>
      <c r="F306" s="443"/>
      <c r="G306" s="411"/>
      <c r="H306" s="411"/>
      <c r="I306" s="411"/>
    </row>
    <row r="307" spans="1:9">
      <c r="A307" s="411"/>
      <c r="B307" s="411"/>
      <c r="C307" s="411"/>
      <c r="D307" s="409"/>
      <c r="E307" s="443"/>
      <c r="F307" s="443"/>
      <c r="G307" s="411"/>
      <c r="H307" s="411"/>
      <c r="I307" s="411"/>
    </row>
    <row r="308" spans="1:9">
      <c r="A308" s="411"/>
      <c r="B308" s="411"/>
      <c r="C308" s="411"/>
      <c r="D308" s="409"/>
      <c r="E308" s="443"/>
      <c r="F308" s="443"/>
      <c r="G308" s="411"/>
      <c r="H308" s="411"/>
      <c r="I308" s="411"/>
    </row>
    <row r="309" spans="1:9">
      <c r="A309" s="411"/>
      <c r="B309" s="411"/>
      <c r="C309" s="411"/>
      <c r="D309" s="409"/>
      <c r="E309" s="443"/>
      <c r="F309" s="443"/>
      <c r="G309" s="411"/>
      <c r="H309" s="411"/>
      <c r="I309" s="411"/>
    </row>
    <row r="310" spans="1:9">
      <c r="A310" s="411"/>
      <c r="B310" s="411"/>
      <c r="C310" s="411"/>
      <c r="D310" s="409"/>
      <c r="E310" s="443"/>
      <c r="F310" s="443"/>
      <c r="G310" s="411"/>
      <c r="H310" s="411"/>
      <c r="I310" s="411"/>
    </row>
    <row r="311" spans="1:9">
      <c r="A311" s="411"/>
      <c r="B311" s="411"/>
      <c r="C311" s="411"/>
      <c r="D311" s="409"/>
      <c r="E311" s="443"/>
      <c r="F311" s="443"/>
      <c r="G311" s="411"/>
      <c r="H311" s="411"/>
      <c r="I311" s="411"/>
    </row>
    <row r="312" spans="1:9">
      <c r="A312" s="411"/>
      <c r="B312" s="411"/>
      <c r="C312" s="411"/>
      <c r="D312" s="409"/>
      <c r="E312" s="443"/>
      <c r="F312" s="443"/>
      <c r="G312" s="411"/>
      <c r="H312" s="411"/>
      <c r="I312" s="411"/>
    </row>
    <row r="313" spans="1:9">
      <c r="A313" s="411"/>
      <c r="B313" s="411"/>
      <c r="C313" s="411"/>
      <c r="D313" s="409"/>
      <c r="E313" s="443"/>
      <c r="F313" s="443"/>
      <c r="G313" s="411"/>
      <c r="H313" s="411"/>
      <c r="I313" s="411"/>
    </row>
    <row r="314" spans="1:9">
      <c r="A314" s="411"/>
      <c r="B314" s="411"/>
      <c r="C314" s="411"/>
      <c r="D314" s="409"/>
      <c r="E314" s="443"/>
      <c r="F314" s="443"/>
      <c r="G314" s="411"/>
      <c r="H314" s="411"/>
      <c r="I314" s="411"/>
    </row>
    <row r="315" spans="1:9">
      <c r="A315" s="411"/>
      <c r="B315" s="411"/>
      <c r="C315" s="411"/>
      <c r="D315" s="409"/>
      <c r="E315" s="443"/>
      <c r="F315" s="443"/>
      <c r="G315" s="411"/>
      <c r="H315" s="411"/>
      <c r="I315" s="411"/>
    </row>
    <row r="316" spans="1:9">
      <c r="A316" s="411"/>
      <c r="B316" s="411"/>
      <c r="C316" s="411"/>
      <c r="D316" s="409"/>
      <c r="E316" s="443"/>
      <c r="F316" s="443"/>
      <c r="G316" s="411"/>
      <c r="H316" s="411"/>
      <c r="I316" s="411"/>
    </row>
    <row r="317" spans="1:9">
      <c r="A317" s="411"/>
      <c r="B317" s="411"/>
      <c r="C317" s="411"/>
      <c r="D317" s="409"/>
      <c r="E317" s="443"/>
      <c r="F317" s="443"/>
      <c r="G317" s="411"/>
      <c r="H317" s="411"/>
      <c r="I317" s="411"/>
    </row>
    <row r="318" spans="1:9">
      <c r="A318" s="411"/>
      <c r="B318" s="411"/>
      <c r="C318" s="411"/>
      <c r="D318" s="409"/>
      <c r="E318" s="443"/>
      <c r="F318" s="443"/>
      <c r="G318" s="411"/>
      <c r="H318" s="411"/>
      <c r="I318" s="411"/>
    </row>
    <row r="319" spans="1:9">
      <c r="A319" s="411"/>
      <c r="B319" s="411"/>
      <c r="C319" s="411"/>
      <c r="D319" s="409"/>
      <c r="E319" s="443"/>
      <c r="F319" s="443"/>
      <c r="G319" s="411"/>
      <c r="H319" s="411"/>
      <c r="I319" s="411"/>
    </row>
    <row r="320" spans="1:9">
      <c r="A320" s="411"/>
      <c r="B320" s="411"/>
      <c r="C320" s="411"/>
      <c r="D320" s="409"/>
      <c r="E320" s="443"/>
      <c r="F320" s="443"/>
      <c r="G320" s="411"/>
      <c r="H320" s="411"/>
      <c r="I320" s="411"/>
    </row>
    <row r="321" spans="1:9">
      <c r="A321" s="411"/>
      <c r="B321" s="411"/>
      <c r="C321" s="411"/>
      <c r="D321" s="409"/>
      <c r="E321" s="443"/>
      <c r="F321" s="443"/>
      <c r="G321" s="411"/>
      <c r="H321" s="411"/>
      <c r="I321" s="411"/>
    </row>
    <row r="322" spans="1:9">
      <c r="A322" s="411"/>
      <c r="B322" s="411"/>
      <c r="C322" s="411"/>
      <c r="D322" s="409"/>
      <c r="E322" s="443"/>
      <c r="F322" s="443"/>
      <c r="G322" s="411"/>
      <c r="H322" s="411"/>
      <c r="I322" s="411"/>
    </row>
    <row r="323" spans="1:9">
      <c r="A323" s="411"/>
      <c r="B323" s="411"/>
      <c r="C323" s="411"/>
      <c r="D323" s="409"/>
      <c r="E323" s="443"/>
      <c r="F323" s="443"/>
      <c r="G323" s="411"/>
      <c r="H323" s="411"/>
      <c r="I323" s="411"/>
    </row>
    <row r="324" spans="1:9">
      <c r="A324" s="411"/>
      <c r="B324" s="411"/>
      <c r="C324" s="411"/>
      <c r="D324" s="409"/>
      <c r="E324" s="443"/>
      <c r="F324" s="443"/>
      <c r="G324" s="411"/>
      <c r="H324" s="411"/>
      <c r="I324" s="411"/>
    </row>
    <row r="325" spans="1:9">
      <c r="A325" s="411"/>
      <c r="B325" s="411"/>
      <c r="C325" s="411"/>
      <c r="D325" s="409"/>
      <c r="E325" s="443"/>
      <c r="F325" s="443"/>
      <c r="G325" s="411"/>
      <c r="H325" s="411"/>
      <c r="I325" s="411"/>
    </row>
    <row r="326" spans="1:9">
      <c r="A326" s="411"/>
      <c r="B326" s="411"/>
      <c r="C326" s="411"/>
      <c r="D326" s="409"/>
      <c r="E326" s="443"/>
      <c r="F326" s="443"/>
      <c r="G326" s="411"/>
      <c r="H326" s="411"/>
      <c r="I326" s="411"/>
    </row>
    <row r="327" spans="1:9">
      <c r="A327" s="411"/>
      <c r="B327" s="411"/>
      <c r="C327" s="411"/>
      <c r="D327" s="409"/>
      <c r="E327" s="443"/>
      <c r="F327" s="443"/>
      <c r="G327" s="411"/>
      <c r="H327" s="411"/>
      <c r="I327" s="411"/>
    </row>
    <row r="328" spans="1:9">
      <c r="A328" s="411"/>
      <c r="B328" s="411"/>
      <c r="C328" s="411"/>
      <c r="D328" s="409"/>
      <c r="E328" s="443"/>
      <c r="F328" s="443"/>
      <c r="G328" s="411"/>
      <c r="H328" s="411"/>
      <c r="I328" s="411"/>
    </row>
    <row r="329" spans="1:9">
      <c r="A329" s="411"/>
      <c r="B329" s="411"/>
      <c r="C329" s="411"/>
      <c r="D329" s="409"/>
      <c r="E329" s="443"/>
      <c r="F329" s="443"/>
      <c r="G329" s="411"/>
      <c r="H329" s="411"/>
      <c r="I329" s="411"/>
    </row>
    <row r="330" spans="1:9">
      <c r="A330" s="411"/>
      <c r="B330" s="411"/>
      <c r="C330" s="411"/>
      <c r="D330" s="409"/>
      <c r="E330" s="443"/>
      <c r="F330" s="443"/>
      <c r="G330" s="411"/>
      <c r="H330" s="411"/>
      <c r="I330" s="411"/>
    </row>
    <row r="331" spans="1:9">
      <c r="A331" s="411"/>
      <c r="B331" s="411"/>
      <c r="C331" s="411"/>
      <c r="D331" s="409"/>
      <c r="E331" s="443"/>
      <c r="F331" s="443"/>
      <c r="G331" s="411"/>
      <c r="H331" s="411"/>
      <c r="I331" s="411"/>
    </row>
    <row r="332" spans="1:9">
      <c r="A332" s="411"/>
      <c r="B332" s="411"/>
      <c r="C332" s="411"/>
      <c r="D332" s="409"/>
      <c r="E332" s="443"/>
      <c r="F332" s="443"/>
      <c r="G332" s="411"/>
      <c r="H332" s="411"/>
      <c r="I332" s="411"/>
    </row>
    <row r="333" spans="1:9">
      <c r="A333" s="411"/>
      <c r="B333" s="411"/>
      <c r="C333" s="411"/>
      <c r="D333" s="409"/>
      <c r="E333" s="443"/>
      <c r="F333" s="443"/>
      <c r="G333" s="411"/>
      <c r="H333" s="411"/>
      <c r="I333" s="411"/>
    </row>
    <row r="334" spans="1:9">
      <c r="A334" s="411"/>
      <c r="B334" s="411"/>
      <c r="C334" s="411"/>
      <c r="D334" s="409"/>
      <c r="E334" s="443"/>
      <c r="F334" s="443"/>
      <c r="G334" s="411"/>
      <c r="H334" s="411"/>
      <c r="I334" s="411"/>
    </row>
    <row r="335" spans="1:9">
      <c r="A335" s="411"/>
      <c r="B335" s="411"/>
      <c r="C335" s="411"/>
      <c r="D335" s="409"/>
      <c r="E335" s="443"/>
      <c r="F335" s="443"/>
      <c r="G335" s="411"/>
      <c r="H335" s="411"/>
      <c r="I335" s="411"/>
    </row>
    <row r="336" spans="1:9">
      <c r="A336" s="411"/>
      <c r="B336" s="411"/>
      <c r="C336" s="411"/>
      <c r="D336" s="409"/>
      <c r="E336" s="443"/>
      <c r="F336" s="443"/>
      <c r="G336" s="411"/>
      <c r="H336" s="411"/>
      <c r="I336" s="411"/>
    </row>
    <row r="337" spans="1:9">
      <c r="A337" s="411"/>
      <c r="B337" s="411"/>
      <c r="C337" s="411"/>
      <c r="D337" s="409"/>
      <c r="E337" s="443"/>
      <c r="F337" s="443"/>
      <c r="G337" s="411"/>
      <c r="H337" s="411"/>
      <c r="I337" s="411"/>
    </row>
    <row r="338" spans="1:9">
      <c r="A338" s="411"/>
      <c r="B338" s="411"/>
      <c r="C338" s="411"/>
      <c r="D338" s="409"/>
      <c r="E338" s="443"/>
      <c r="F338" s="443"/>
      <c r="G338" s="411"/>
      <c r="H338" s="411"/>
      <c r="I338" s="411"/>
    </row>
    <row r="339" spans="1:9">
      <c r="A339" s="411"/>
      <c r="B339" s="411"/>
      <c r="C339" s="411"/>
      <c r="D339" s="409"/>
      <c r="E339" s="443"/>
      <c r="F339" s="443"/>
      <c r="G339" s="411"/>
      <c r="H339" s="411"/>
      <c r="I339" s="411"/>
    </row>
    <row r="340" spans="1:9">
      <c r="A340" s="411"/>
      <c r="B340" s="411"/>
      <c r="C340" s="411"/>
      <c r="D340" s="409"/>
      <c r="E340" s="443"/>
      <c r="F340" s="443"/>
      <c r="G340" s="411"/>
      <c r="H340" s="411"/>
      <c r="I340" s="411"/>
    </row>
    <row r="341" spans="1:9">
      <c r="A341" s="411"/>
      <c r="B341" s="411"/>
      <c r="C341" s="411"/>
      <c r="D341" s="409"/>
      <c r="E341" s="443"/>
      <c r="F341" s="443"/>
      <c r="G341" s="411"/>
      <c r="H341" s="411"/>
      <c r="I341" s="411"/>
    </row>
    <row r="342" spans="1:9">
      <c r="A342" s="411"/>
      <c r="B342" s="411"/>
      <c r="C342" s="411"/>
      <c r="D342" s="409"/>
      <c r="E342" s="443"/>
      <c r="F342" s="443"/>
      <c r="G342" s="411"/>
      <c r="H342" s="411"/>
      <c r="I342" s="411"/>
    </row>
    <row r="343" spans="1:9">
      <c r="A343" s="411"/>
      <c r="B343" s="411"/>
      <c r="C343" s="411"/>
      <c r="D343" s="409"/>
      <c r="E343" s="443"/>
      <c r="F343" s="443"/>
      <c r="G343" s="411"/>
      <c r="H343" s="411"/>
      <c r="I343" s="411"/>
    </row>
    <row r="344" spans="1:9">
      <c r="A344" s="411"/>
      <c r="B344" s="411"/>
      <c r="C344" s="411"/>
      <c r="D344" s="409"/>
      <c r="E344" s="443"/>
      <c r="F344" s="443"/>
      <c r="G344" s="411"/>
      <c r="H344" s="411"/>
      <c r="I344" s="411"/>
    </row>
    <row r="345" spans="1:9">
      <c r="A345" s="411"/>
      <c r="B345" s="411"/>
      <c r="C345" s="411"/>
      <c r="D345" s="409"/>
      <c r="E345" s="443"/>
      <c r="F345" s="443"/>
      <c r="G345" s="411"/>
      <c r="H345" s="411"/>
      <c r="I345" s="411"/>
    </row>
    <row r="346" spans="1:9">
      <c r="A346" s="411"/>
      <c r="B346" s="411"/>
      <c r="C346" s="411"/>
      <c r="D346" s="409"/>
      <c r="E346" s="443"/>
      <c r="F346" s="443"/>
      <c r="G346" s="411"/>
      <c r="H346" s="411"/>
      <c r="I346" s="411"/>
    </row>
    <row r="347" spans="1:9">
      <c r="A347" s="411"/>
      <c r="B347" s="411"/>
      <c r="C347" s="411"/>
      <c r="D347" s="409"/>
      <c r="E347" s="443"/>
      <c r="F347" s="443"/>
      <c r="G347" s="411"/>
      <c r="H347" s="411"/>
      <c r="I347" s="411"/>
    </row>
    <row r="348" spans="1:9">
      <c r="A348" s="411"/>
      <c r="B348" s="411"/>
      <c r="C348" s="411"/>
      <c r="D348" s="409"/>
      <c r="E348" s="443"/>
      <c r="F348" s="443"/>
      <c r="G348" s="411"/>
      <c r="H348" s="411"/>
      <c r="I348" s="411"/>
    </row>
    <row r="349" spans="1:9">
      <c r="A349" s="411"/>
      <c r="B349" s="411"/>
      <c r="C349" s="411"/>
      <c r="D349" s="409"/>
      <c r="E349" s="443"/>
      <c r="F349" s="443"/>
      <c r="G349" s="411"/>
      <c r="H349" s="411"/>
      <c r="I349" s="411"/>
    </row>
    <row r="350" spans="1:9">
      <c r="A350" s="411"/>
      <c r="B350" s="411"/>
      <c r="C350" s="411"/>
      <c r="D350" s="409"/>
      <c r="E350" s="443"/>
      <c r="F350" s="443"/>
      <c r="G350" s="411"/>
      <c r="H350" s="411"/>
      <c r="I350" s="411"/>
    </row>
    <row r="351" spans="1:9">
      <c r="A351" s="411"/>
      <c r="B351" s="411"/>
      <c r="C351" s="411"/>
      <c r="D351" s="409"/>
      <c r="E351" s="443"/>
      <c r="F351" s="443"/>
      <c r="G351" s="411"/>
      <c r="H351" s="411"/>
      <c r="I351" s="411"/>
    </row>
    <row r="352" spans="1:9">
      <c r="A352" s="411"/>
      <c r="B352" s="411"/>
      <c r="C352" s="411"/>
      <c r="D352" s="409"/>
      <c r="E352" s="443"/>
      <c r="F352" s="443"/>
      <c r="G352" s="411"/>
      <c r="H352" s="411"/>
      <c r="I352" s="411"/>
    </row>
    <row r="353" spans="1:9">
      <c r="A353" s="411"/>
      <c r="B353" s="411"/>
      <c r="C353" s="411"/>
      <c r="D353" s="409"/>
      <c r="E353" s="443"/>
      <c r="F353" s="443"/>
      <c r="G353" s="411"/>
      <c r="H353" s="411"/>
      <c r="I353" s="411"/>
    </row>
    <row r="354" spans="1:9">
      <c r="A354" s="411"/>
      <c r="B354" s="411"/>
      <c r="C354" s="411"/>
      <c r="D354" s="409"/>
      <c r="E354" s="443"/>
      <c r="F354" s="443"/>
      <c r="G354" s="411"/>
      <c r="H354" s="411"/>
      <c r="I354" s="411"/>
    </row>
    <row r="355" spans="1:9">
      <c r="A355" s="411"/>
      <c r="B355" s="411"/>
      <c r="C355" s="411"/>
      <c r="D355" s="409"/>
      <c r="E355" s="443"/>
      <c r="F355" s="443"/>
      <c r="G355" s="411"/>
      <c r="H355" s="411"/>
      <c r="I355" s="411"/>
    </row>
    <row r="356" spans="1:9">
      <c r="A356" s="411"/>
      <c r="B356" s="411"/>
      <c r="C356" s="411"/>
      <c r="D356" s="409"/>
      <c r="E356" s="443"/>
      <c r="F356" s="443"/>
      <c r="G356" s="411"/>
      <c r="H356" s="411"/>
      <c r="I356" s="411"/>
    </row>
    <row r="357" spans="1:9">
      <c r="A357" s="411"/>
      <c r="B357" s="411"/>
      <c r="C357" s="411"/>
      <c r="D357" s="409"/>
      <c r="E357" s="443"/>
      <c r="F357" s="443"/>
      <c r="G357" s="411"/>
      <c r="H357" s="411"/>
      <c r="I357" s="411"/>
    </row>
    <row r="358" spans="1:9">
      <c r="A358" s="411"/>
      <c r="B358" s="411"/>
      <c r="C358" s="411"/>
      <c r="D358" s="409"/>
      <c r="E358" s="443"/>
      <c r="F358" s="443"/>
      <c r="G358" s="411"/>
      <c r="H358" s="411"/>
      <c r="I358" s="411"/>
    </row>
    <row r="359" spans="1:9">
      <c r="A359" s="411"/>
      <c r="B359" s="411"/>
      <c r="C359" s="411"/>
      <c r="D359" s="409"/>
      <c r="E359" s="443"/>
      <c r="F359" s="443"/>
      <c r="G359" s="411"/>
      <c r="H359" s="411"/>
      <c r="I359" s="411"/>
    </row>
    <row r="360" spans="1:9">
      <c r="A360" s="411"/>
      <c r="B360" s="411"/>
      <c r="C360" s="411"/>
      <c r="D360" s="409"/>
      <c r="E360" s="443"/>
      <c r="F360" s="443"/>
      <c r="G360" s="411"/>
      <c r="H360" s="411"/>
      <c r="I360" s="411"/>
    </row>
    <row r="361" spans="1:9">
      <c r="A361" s="411"/>
      <c r="B361" s="411"/>
      <c r="C361" s="411"/>
      <c r="D361" s="409"/>
      <c r="E361" s="443"/>
      <c r="F361" s="443"/>
      <c r="G361" s="411"/>
      <c r="H361" s="411"/>
      <c r="I361" s="411"/>
    </row>
    <row r="362" spans="1:9">
      <c r="A362" s="411"/>
      <c r="B362" s="411"/>
      <c r="C362" s="411"/>
      <c r="D362" s="409"/>
      <c r="E362" s="443"/>
      <c r="F362" s="443"/>
      <c r="G362" s="411"/>
      <c r="H362" s="411"/>
      <c r="I362" s="411"/>
    </row>
    <row r="363" spans="1:9">
      <c r="A363" s="411"/>
      <c r="B363" s="411"/>
      <c r="C363" s="411"/>
      <c r="D363" s="409"/>
      <c r="E363" s="443"/>
      <c r="F363" s="443"/>
      <c r="G363" s="411"/>
      <c r="H363" s="411"/>
      <c r="I363" s="411"/>
    </row>
    <row r="364" spans="1:9">
      <c r="A364" s="411"/>
      <c r="B364" s="411"/>
      <c r="C364" s="411"/>
      <c r="D364" s="409"/>
      <c r="E364" s="443"/>
      <c r="F364" s="443"/>
      <c r="G364" s="411"/>
      <c r="H364" s="411"/>
      <c r="I364" s="411"/>
    </row>
    <row r="365" spans="1:9">
      <c r="A365" s="411"/>
      <c r="B365" s="411"/>
      <c r="C365" s="411"/>
      <c r="D365" s="409"/>
      <c r="E365" s="443"/>
      <c r="F365" s="443"/>
      <c r="G365" s="411"/>
      <c r="H365" s="411"/>
      <c r="I365" s="411"/>
    </row>
    <row r="366" spans="1:9">
      <c r="A366" s="411"/>
      <c r="B366" s="411"/>
      <c r="C366" s="411"/>
      <c r="D366" s="409"/>
      <c r="E366" s="443"/>
      <c r="F366" s="443"/>
      <c r="G366" s="411"/>
      <c r="H366" s="411"/>
      <c r="I366" s="411"/>
    </row>
    <row r="367" spans="1:9">
      <c r="A367" s="411"/>
      <c r="B367" s="411"/>
      <c r="C367" s="411"/>
      <c r="D367" s="409"/>
      <c r="E367" s="443"/>
      <c r="F367" s="443"/>
      <c r="G367" s="411"/>
      <c r="H367" s="411"/>
      <c r="I367" s="411"/>
    </row>
    <row r="368" spans="1:9">
      <c r="A368" s="411"/>
      <c r="B368" s="411"/>
      <c r="C368" s="411"/>
      <c r="D368" s="409"/>
      <c r="E368" s="443"/>
      <c r="F368" s="443"/>
      <c r="G368" s="411"/>
      <c r="H368" s="411"/>
      <c r="I368" s="411"/>
    </row>
    <row r="369" spans="1:9">
      <c r="A369" s="411"/>
      <c r="B369" s="411"/>
      <c r="C369" s="411"/>
      <c r="D369" s="409"/>
      <c r="E369" s="443"/>
      <c r="F369" s="443"/>
      <c r="G369" s="411"/>
      <c r="H369" s="411"/>
      <c r="I369" s="411"/>
    </row>
    <row r="370" spans="1:9">
      <c r="A370" s="411"/>
      <c r="B370" s="411"/>
      <c r="C370" s="411"/>
      <c r="D370" s="409"/>
      <c r="E370" s="443"/>
      <c r="F370" s="443"/>
      <c r="G370" s="411"/>
      <c r="H370" s="411"/>
      <c r="I370" s="411"/>
    </row>
    <row r="371" spans="1:9">
      <c r="A371" s="411"/>
      <c r="B371" s="411"/>
      <c r="C371" s="411"/>
      <c r="D371" s="409"/>
      <c r="E371" s="443"/>
      <c r="F371" s="443"/>
      <c r="G371" s="411"/>
      <c r="H371" s="411"/>
      <c r="I371" s="411"/>
    </row>
    <row r="372" spans="1:9">
      <c r="A372" s="411"/>
      <c r="B372" s="411"/>
      <c r="C372" s="411"/>
      <c r="D372" s="409"/>
      <c r="E372" s="443"/>
      <c r="F372" s="443"/>
      <c r="G372" s="411"/>
      <c r="H372" s="411"/>
      <c r="I372" s="411"/>
    </row>
    <row r="373" spans="1:9">
      <c r="A373" s="411"/>
      <c r="B373" s="411"/>
      <c r="C373" s="411"/>
      <c r="D373" s="409"/>
      <c r="E373" s="443"/>
      <c r="F373" s="443"/>
      <c r="G373" s="411"/>
      <c r="H373" s="411"/>
      <c r="I373" s="411"/>
    </row>
    <row r="374" spans="1:9">
      <c r="A374" s="411"/>
      <c r="B374" s="411"/>
      <c r="C374" s="411"/>
      <c r="D374" s="409"/>
      <c r="E374" s="443"/>
      <c r="F374" s="443"/>
      <c r="G374" s="411"/>
      <c r="H374" s="411"/>
      <c r="I374" s="411"/>
    </row>
    <row r="375" spans="1:9">
      <c r="A375" s="411"/>
      <c r="B375" s="411"/>
      <c r="C375" s="411"/>
      <c r="D375" s="409"/>
      <c r="E375" s="443"/>
      <c r="F375" s="443"/>
      <c r="G375" s="411"/>
      <c r="H375" s="411"/>
      <c r="I375" s="411"/>
    </row>
    <row r="376" spans="1:9">
      <c r="A376" s="411"/>
      <c r="B376" s="411"/>
      <c r="C376" s="411"/>
      <c r="D376" s="409"/>
      <c r="E376" s="443"/>
      <c r="F376" s="443"/>
      <c r="G376" s="411"/>
      <c r="H376" s="411"/>
      <c r="I376" s="411"/>
    </row>
    <row r="377" spans="1:9">
      <c r="A377" s="411"/>
      <c r="B377" s="411"/>
      <c r="C377" s="411"/>
      <c r="D377" s="409"/>
      <c r="E377" s="443"/>
      <c r="F377" s="443"/>
      <c r="G377" s="411"/>
      <c r="H377" s="411"/>
      <c r="I377" s="411"/>
    </row>
    <row r="378" spans="1:9">
      <c r="A378" s="411"/>
      <c r="B378" s="411"/>
      <c r="C378" s="411"/>
      <c r="D378" s="409"/>
      <c r="E378" s="443"/>
      <c r="F378" s="443"/>
      <c r="G378" s="411"/>
      <c r="H378" s="411"/>
      <c r="I378" s="411"/>
    </row>
    <row r="379" spans="1:9">
      <c r="A379" s="411"/>
      <c r="B379" s="411"/>
      <c r="C379" s="411"/>
      <c r="D379" s="409"/>
      <c r="E379" s="443"/>
      <c r="F379" s="443"/>
      <c r="G379" s="411"/>
      <c r="H379" s="411"/>
      <c r="I379" s="411"/>
    </row>
    <row r="380" spans="1:9">
      <c r="A380" s="411"/>
      <c r="B380" s="411"/>
      <c r="C380" s="411"/>
      <c r="D380" s="409"/>
      <c r="E380" s="443"/>
      <c r="F380" s="443"/>
      <c r="G380" s="411"/>
      <c r="H380" s="411"/>
      <c r="I380" s="411"/>
    </row>
    <row r="381" spans="1:9">
      <c r="A381" s="411"/>
      <c r="B381" s="411"/>
      <c r="C381" s="411"/>
      <c r="D381" s="409"/>
      <c r="E381" s="443"/>
      <c r="F381" s="443"/>
      <c r="G381" s="411"/>
      <c r="H381" s="411"/>
      <c r="I381" s="411"/>
    </row>
    <row r="382" spans="1:9">
      <c r="A382" s="411"/>
      <c r="B382" s="411"/>
      <c r="C382" s="411"/>
      <c r="D382" s="409"/>
      <c r="E382" s="443"/>
      <c r="F382" s="443"/>
      <c r="G382" s="411"/>
      <c r="H382" s="411"/>
      <c r="I382" s="411"/>
    </row>
    <row r="383" spans="1:9">
      <c r="A383" s="411"/>
      <c r="B383" s="411"/>
      <c r="C383" s="411"/>
      <c r="D383" s="409"/>
      <c r="E383" s="443"/>
      <c r="F383" s="443"/>
      <c r="G383" s="411"/>
      <c r="H383" s="411"/>
      <c r="I383" s="411"/>
    </row>
    <row r="384" spans="1:9">
      <c r="A384" s="411"/>
      <c r="B384" s="411"/>
      <c r="C384" s="411"/>
      <c r="D384" s="409"/>
      <c r="E384" s="443"/>
      <c r="F384" s="443"/>
      <c r="G384" s="411"/>
      <c r="H384" s="411"/>
      <c r="I384" s="411"/>
    </row>
    <row r="385" spans="1:9">
      <c r="A385" s="411"/>
      <c r="B385" s="411"/>
      <c r="C385" s="411"/>
      <c r="D385" s="409"/>
      <c r="E385" s="443"/>
      <c r="F385" s="443"/>
      <c r="G385" s="411"/>
      <c r="H385" s="411"/>
      <c r="I385" s="411"/>
    </row>
    <row r="386" spans="1:9">
      <c r="A386" s="411"/>
      <c r="B386" s="411"/>
      <c r="C386" s="411"/>
      <c r="D386" s="409"/>
      <c r="E386" s="443"/>
      <c r="F386" s="443"/>
      <c r="G386" s="411"/>
      <c r="H386" s="411"/>
      <c r="I386" s="411"/>
    </row>
    <row r="387" spans="1:9">
      <c r="A387" s="411"/>
      <c r="B387" s="411"/>
      <c r="C387" s="411"/>
      <c r="D387" s="409"/>
      <c r="E387" s="443"/>
      <c r="F387" s="443"/>
      <c r="G387" s="411"/>
      <c r="H387" s="411"/>
      <c r="I387" s="411"/>
    </row>
    <row r="388" spans="1:9">
      <c r="A388" s="411"/>
      <c r="B388" s="411"/>
      <c r="C388" s="411"/>
      <c r="D388" s="409"/>
      <c r="E388" s="443"/>
      <c r="F388" s="443"/>
      <c r="G388" s="411"/>
      <c r="H388" s="411"/>
      <c r="I388" s="411"/>
    </row>
    <row r="389" spans="1:9">
      <c r="A389" s="411"/>
      <c r="B389" s="411"/>
      <c r="C389" s="411"/>
      <c r="D389" s="409"/>
      <c r="E389" s="443"/>
      <c r="F389" s="443"/>
      <c r="G389" s="411"/>
      <c r="H389" s="411"/>
      <c r="I389" s="411"/>
    </row>
    <row r="390" spans="1:9">
      <c r="A390" s="411"/>
      <c r="B390" s="411"/>
      <c r="C390" s="411"/>
      <c r="D390" s="409"/>
      <c r="E390" s="443"/>
      <c r="F390" s="443"/>
      <c r="G390" s="411"/>
      <c r="H390" s="411"/>
      <c r="I390" s="411"/>
    </row>
    <row r="391" spans="1:9">
      <c r="A391" s="411"/>
      <c r="B391" s="411"/>
      <c r="C391" s="411"/>
      <c r="D391" s="409"/>
      <c r="E391" s="443"/>
      <c r="F391" s="443"/>
      <c r="G391" s="411"/>
      <c r="H391" s="411"/>
      <c r="I391" s="411"/>
    </row>
    <row r="392" spans="1:9">
      <c r="A392" s="411"/>
      <c r="B392" s="411"/>
      <c r="C392" s="411"/>
      <c r="D392" s="409"/>
      <c r="E392" s="443"/>
      <c r="F392" s="443"/>
      <c r="G392" s="411"/>
      <c r="H392" s="411"/>
      <c r="I392" s="411"/>
    </row>
    <row r="393" spans="1:9">
      <c r="A393" s="411"/>
      <c r="B393" s="411"/>
      <c r="C393" s="411"/>
      <c r="D393" s="409"/>
      <c r="E393" s="443"/>
      <c r="F393" s="443"/>
      <c r="G393" s="411"/>
      <c r="H393" s="411"/>
      <c r="I393" s="411"/>
    </row>
    <row r="394" spans="1:9">
      <c r="A394" s="411"/>
      <c r="B394" s="411"/>
      <c r="C394" s="411"/>
      <c r="D394" s="409"/>
      <c r="E394" s="443"/>
      <c r="F394" s="443"/>
      <c r="G394" s="411"/>
      <c r="H394" s="411"/>
      <c r="I394" s="411"/>
    </row>
    <row r="395" spans="1:9">
      <c r="A395" s="411"/>
      <c r="B395" s="411"/>
      <c r="C395" s="411"/>
      <c r="D395" s="409"/>
      <c r="E395" s="443"/>
      <c r="F395" s="443"/>
      <c r="G395" s="411"/>
      <c r="H395" s="411"/>
      <c r="I395" s="411"/>
    </row>
    <row r="396" spans="1:9">
      <c r="A396" s="411"/>
      <c r="B396" s="411"/>
      <c r="C396" s="411"/>
      <c r="D396" s="409"/>
      <c r="E396" s="443"/>
      <c r="F396" s="443"/>
      <c r="G396" s="411"/>
      <c r="H396" s="411"/>
      <c r="I396" s="411"/>
    </row>
    <row r="397" spans="1:9">
      <c r="A397" s="411"/>
      <c r="B397" s="411"/>
      <c r="C397" s="411"/>
      <c r="D397" s="409"/>
      <c r="E397" s="443"/>
      <c r="F397" s="443"/>
      <c r="G397" s="411"/>
      <c r="H397" s="411"/>
      <c r="I397" s="411"/>
    </row>
    <row r="398" spans="1:9">
      <c r="A398" s="411"/>
      <c r="B398" s="411"/>
      <c r="C398" s="411"/>
      <c r="D398" s="409"/>
      <c r="E398" s="443"/>
      <c r="F398" s="443"/>
      <c r="G398" s="411"/>
      <c r="H398" s="411"/>
      <c r="I398" s="411"/>
    </row>
    <row r="399" spans="1:9">
      <c r="A399" s="411"/>
      <c r="B399" s="411"/>
      <c r="C399" s="411"/>
      <c r="D399" s="409"/>
      <c r="E399" s="443"/>
      <c r="F399" s="443"/>
      <c r="G399" s="411"/>
      <c r="H399" s="411"/>
      <c r="I399" s="411"/>
    </row>
    <row r="400" spans="1:9">
      <c r="A400" s="411"/>
      <c r="B400" s="411"/>
      <c r="C400" s="411"/>
      <c r="D400" s="409"/>
      <c r="E400" s="443"/>
      <c r="F400" s="443"/>
      <c r="G400" s="411"/>
      <c r="H400" s="411"/>
      <c r="I400" s="411"/>
    </row>
    <row r="401" spans="1:9">
      <c r="A401" s="411"/>
      <c r="B401" s="411"/>
      <c r="C401" s="411"/>
      <c r="D401" s="409"/>
      <c r="E401" s="443"/>
      <c r="F401" s="443"/>
      <c r="G401" s="411"/>
      <c r="H401" s="411"/>
      <c r="I401" s="411"/>
    </row>
    <row r="402" spans="1:9">
      <c r="A402" s="411"/>
      <c r="B402" s="411"/>
      <c r="C402" s="411"/>
      <c r="D402" s="409"/>
      <c r="E402" s="443"/>
      <c r="F402" s="443"/>
      <c r="G402" s="411"/>
      <c r="H402" s="411"/>
      <c r="I402" s="411"/>
    </row>
    <row r="403" spans="1:9">
      <c r="A403" s="411"/>
      <c r="B403" s="411"/>
      <c r="C403" s="411"/>
      <c r="D403" s="409"/>
      <c r="E403" s="443"/>
      <c r="F403" s="443"/>
      <c r="G403" s="411"/>
      <c r="H403" s="411"/>
      <c r="I403" s="411"/>
    </row>
    <row r="404" spans="1:9">
      <c r="A404" s="411"/>
      <c r="B404" s="411"/>
      <c r="C404" s="411"/>
      <c r="D404" s="409"/>
      <c r="E404" s="443"/>
      <c r="F404" s="443"/>
      <c r="G404" s="411"/>
      <c r="H404" s="411"/>
      <c r="I404" s="411"/>
    </row>
    <row r="405" spans="1:9">
      <c r="A405" s="411"/>
      <c r="B405" s="411"/>
      <c r="C405" s="411"/>
      <c r="D405" s="409"/>
      <c r="E405" s="443"/>
      <c r="F405" s="443"/>
      <c r="G405" s="411"/>
      <c r="H405" s="411"/>
      <c r="I405" s="411"/>
    </row>
    <row r="406" spans="1:9">
      <c r="A406" s="411"/>
      <c r="B406" s="411"/>
      <c r="C406" s="411"/>
      <c r="D406" s="409"/>
      <c r="E406" s="443"/>
      <c r="F406" s="443"/>
      <c r="G406" s="411"/>
      <c r="H406" s="411"/>
      <c r="I406" s="411"/>
    </row>
    <row r="407" spans="1:9">
      <c r="A407" s="411"/>
      <c r="B407" s="411"/>
      <c r="C407" s="411"/>
      <c r="D407" s="409"/>
      <c r="E407" s="443"/>
      <c r="F407" s="443"/>
      <c r="G407" s="411"/>
      <c r="H407" s="411"/>
      <c r="I407" s="411"/>
    </row>
    <row r="408" spans="1:9">
      <c r="A408" s="411"/>
      <c r="B408" s="411"/>
      <c r="C408" s="411"/>
      <c r="D408" s="409"/>
      <c r="E408" s="443"/>
      <c r="F408" s="443"/>
      <c r="G408" s="411"/>
      <c r="H408" s="411"/>
      <c r="I408" s="411"/>
    </row>
    <row r="409" spans="1:9">
      <c r="A409" s="411"/>
      <c r="B409" s="411"/>
      <c r="C409" s="411"/>
      <c r="D409" s="409"/>
      <c r="E409" s="443"/>
      <c r="F409" s="443"/>
      <c r="G409" s="411"/>
      <c r="H409" s="411"/>
      <c r="I409" s="411"/>
    </row>
    <row r="410" spans="1:9">
      <c r="A410" s="411"/>
      <c r="B410" s="411"/>
      <c r="C410" s="411"/>
      <c r="D410" s="409"/>
      <c r="E410" s="443"/>
      <c r="F410" s="443"/>
      <c r="G410" s="411"/>
      <c r="H410" s="411"/>
      <c r="I410" s="411"/>
    </row>
    <row r="411" spans="1:9">
      <c r="A411" s="411"/>
      <c r="B411" s="411"/>
      <c r="C411" s="411"/>
      <c r="D411" s="409"/>
      <c r="E411" s="443"/>
      <c r="F411" s="443"/>
      <c r="G411" s="411"/>
      <c r="H411" s="411"/>
      <c r="I411" s="411"/>
    </row>
    <row r="412" spans="1:9">
      <c r="A412" s="411"/>
      <c r="B412" s="411"/>
      <c r="C412" s="411"/>
      <c r="D412" s="409"/>
      <c r="E412" s="443"/>
      <c r="F412" s="443"/>
      <c r="G412" s="411"/>
      <c r="H412" s="411"/>
      <c r="I412" s="411"/>
    </row>
    <row r="413" spans="1:9">
      <c r="A413" s="411"/>
      <c r="B413" s="411"/>
      <c r="C413" s="411"/>
      <c r="D413" s="409"/>
      <c r="E413" s="443"/>
      <c r="F413" s="443"/>
      <c r="G413" s="411"/>
      <c r="H413" s="411"/>
      <c r="I413" s="411"/>
    </row>
    <row r="414" spans="1:9">
      <c r="A414" s="411"/>
      <c r="B414" s="411"/>
      <c r="C414" s="411"/>
      <c r="D414" s="409"/>
      <c r="E414" s="443"/>
      <c r="F414" s="443"/>
      <c r="G414" s="411"/>
      <c r="H414" s="411"/>
      <c r="I414" s="411"/>
    </row>
    <row r="415" spans="1:9">
      <c r="A415" s="411"/>
      <c r="B415" s="411"/>
      <c r="C415" s="411"/>
      <c r="D415" s="409"/>
      <c r="E415" s="443"/>
      <c r="F415" s="443"/>
      <c r="G415" s="411"/>
      <c r="H415" s="411"/>
      <c r="I415" s="411"/>
    </row>
    <row r="416" spans="1:9">
      <c r="A416" s="411"/>
      <c r="B416" s="411"/>
      <c r="C416" s="411"/>
      <c r="D416" s="409"/>
      <c r="E416" s="443"/>
      <c r="F416" s="443"/>
      <c r="G416" s="411"/>
      <c r="H416" s="411"/>
      <c r="I416" s="411"/>
    </row>
    <row r="417" spans="1:9">
      <c r="A417" s="411"/>
      <c r="B417" s="411"/>
      <c r="C417" s="411"/>
      <c r="D417" s="409"/>
      <c r="E417" s="443"/>
      <c r="F417" s="443"/>
      <c r="G417" s="411"/>
      <c r="H417" s="411"/>
      <c r="I417" s="411"/>
    </row>
    <row r="418" spans="1:9">
      <c r="A418" s="411"/>
      <c r="B418" s="411"/>
      <c r="C418" s="411"/>
      <c r="D418" s="409"/>
      <c r="E418" s="443"/>
      <c r="F418" s="443"/>
      <c r="G418" s="411"/>
      <c r="H418" s="411"/>
      <c r="I418" s="411"/>
    </row>
    <row r="419" spans="1:9">
      <c r="A419" s="411"/>
      <c r="B419" s="411"/>
      <c r="C419" s="411"/>
      <c r="D419" s="409"/>
      <c r="E419" s="443"/>
      <c r="F419" s="443"/>
      <c r="G419" s="411"/>
      <c r="H419" s="411"/>
      <c r="I419" s="411"/>
    </row>
    <row r="420" spans="1:9">
      <c r="A420" s="411"/>
      <c r="B420" s="411"/>
      <c r="C420" s="411"/>
      <c r="D420" s="409"/>
      <c r="E420" s="443"/>
      <c r="F420" s="443"/>
      <c r="G420" s="411"/>
      <c r="H420" s="411"/>
      <c r="I420" s="411"/>
    </row>
    <row r="421" spans="1:9">
      <c r="A421" s="411"/>
      <c r="B421" s="411"/>
      <c r="C421" s="411"/>
      <c r="D421" s="409"/>
      <c r="E421" s="443"/>
      <c r="F421" s="443"/>
      <c r="G421" s="411"/>
      <c r="H421" s="411"/>
      <c r="I421" s="411"/>
    </row>
    <row r="422" spans="1:9">
      <c r="A422" s="411"/>
      <c r="B422" s="411"/>
      <c r="C422" s="411"/>
      <c r="D422" s="409"/>
      <c r="E422" s="443"/>
      <c r="F422" s="443"/>
      <c r="G422" s="411"/>
      <c r="H422" s="411"/>
      <c r="I422" s="411"/>
    </row>
    <row r="423" spans="1:9">
      <c r="A423" s="411"/>
      <c r="B423" s="411"/>
      <c r="C423" s="411"/>
      <c r="D423" s="409"/>
      <c r="E423" s="443"/>
      <c r="F423" s="443"/>
      <c r="G423" s="411"/>
      <c r="H423" s="411"/>
      <c r="I423" s="411"/>
    </row>
    <row r="424" spans="1:9">
      <c r="A424" s="411"/>
      <c r="B424" s="411"/>
      <c r="C424" s="411"/>
      <c r="D424" s="409"/>
      <c r="E424" s="443"/>
      <c r="F424" s="443"/>
      <c r="G424" s="411"/>
      <c r="H424" s="411"/>
      <c r="I424" s="411"/>
    </row>
    <row r="425" spans="1:9">
      <c r="A425" s="411"/>
      <c r="B425" s="411"/>
      <c r="C425" s="411"/>
      <c r="D425" s="409"/>
      <c r="E425" s="443"/>
      <c r="F425" s="443"/>
      <c r="G425" s="411"/>
      <c r="H425" s="411"/>
      <c r="I425" s="411"/>
    </row>
    <row r="426" spans="1:9">
      <c r="A426" s="411"/>
      <c r="B426" s="411"/>
      <c r="C426" s="411"/>
      <c r="D426" s="409"/>
      <c r="E426" s="443"/>
      <c r="F426" s="443"/>
      <c r="G426" s="411"/>
      <c r="H426" s="411"/>
      <c r="I426" s="411"/>
    </row>
    <row r="427" spans="1:9">
      <c r="A427" s="411"/>
      <c r="B427" s="411"/>
      <c r="C427" s="411"/>
      <c r="D427" s="409"/>
      <c r="E427" s="443"/>
      <c r="F427" s="443"/>
      <c r="G427" s="411"/>
      <c r="H427" s="411"/>
      <c r="I427" s="411"/>
    </row>
    <row r="428" spans="1:9">
      <c r="A428" s="411"/>
      <c r="B428" s="411"/>
      <c r="C428" s="411"/>
      <c r="D428" s="409"/>
      <c r="E428" s="443"/>
      <c r="F428" s="443"/>
      <c r="G428" s="411"/>
      <c r="H428" s="411"/>
      <c r="I428" s="411"/>
    </row>
    <row r="429" spans="1:9">
      <c r="A429" s="411"/>
      <c r="B429" s="411"/>
      <c r="C429" s="411"/>
      <c r="D429" s="409"/>
      <c r="E429" s="443"/>
      <c r="F429" s="443"/>
      <c r="G429" s="411"/>
      <c r="H429" s="411"/>
      <c r="I429" s="411"/>
    </row>
    <row r="430" spans="1:9">
      <c r="A430" s="411"/>
      <c r="B430" s="411"/>
      <c r="C430" s="411"/>
      <c r="D430" s="409"/>
      <c r="E430" s="443"/>
      <c r="F430" s="443"/>
      <c r="G430" s="411"/>
      <c r="H430" s="411"/>
      <c r="I430" s="411"/>
    </row>
    <row r="431" spans="1:9">
      <c r="A431" s="411"/>
      <c r="B431" s="411"/>
      <c r="C431" s="411"/>
      <c r="D431" s="409"/>
      <c r="E431" s="443"/>
      <c r="F431" s="443"/>
      <c r="G431" s="411"/>
      <c r="H431" s="411"/>
      <c r="I431" s="411"/>
    </row>
    <row r="432" spans="1:9">
      <c r="A432" s="411"/>
      <c r="B432" s="411"/>
      <c r="C432" s="411"/>
      <c r="D432" s="409"/>
      <c r="E432" s="443"/>
      <c r="F432" s="443"/>
      <c r="G432" s="411"/>
      <c r="H432" s="411"/>
      <c r="I432" s="411"/>
    </row>
    <row r="433" spans="1:9">
      <c r="A433" s="411"/>
      <c r="B433" s="411"/>
      <c r="C433" s="411"/>
      <c r="D433" s="409"/>
      <c r="E433" s="443"/>
      <c r="F433" s="443"/>
      <c r="G433" s="411"/>
      <c r="H433" s="411"/>
      <c r="I433" s="411"/>
    </row>
    <row r="434" spans="1:9">
      <c r="A434" s="411"/>
      <c r="B434" s="411"/>
      <c r="C434" s="411"/>
      <c r="D434" s="409"/>
      <c r="E434" s="443"/>
      <c r="F434" s="443"/>
      <c r="G434" s="411"/>
      <c r="H434" s="411"/>
      <c r="I434" s="411"/>
    </row>
    <row r="435" spans="1:9">
      <c r="A435" s="411"/>
      <c r="B435" s="411"/>
      <c r="C435" s="411"/>
      <c r="D435" s="409"/>
      <c r="E435" s="443"/>
      <c r="F435" s="443"/>
      <c r="G435" s="411"/>
      <c r="H435" s="411"/>
      <c r="I435" s="411"/>
    </row>
    <row r="436" spans="1:9">
      <c r="A436" s="411"/>
      <c r="B436" s="411"/>
      <c r="C436" s="411"/>
      <c r="D436" s="409"/>
      <c r="E436" s="443"/>
      <c r="F436" s="443"/>
      <c r="G436" s="411"/>
      <c r="H436" s="411"/>
      <c r="I436" s="411"/>
    </row>
    <row r="437" spans="1:9">
      <c r="A437" s="411"/>
      <c r="B437" s="411"/>
      <c r="C437" s="411"/>
      <c r="D437" s="409"/>
      <c r="E437" s="443"/>
      <c r="F437" s="443"/>
      <c r="G437" s="411"/>
      <c r="H437" s="411"/>
      <c r="I437" s="411"/>
    </row>
    <row r="438" spans="1:9">
      <c r="A438" s="411"/>
      <c r="B438" s="411"/>
      <c r="C438" s="411"/>
      <c r="D438" s="409"/>
      <c r="E438" s="443"/>
      <c r="F438" s="443"/>
      <c r="G438" s="411"/>
      <c r="H438" s="411"/>
      <c r="I438" s="411"/>
    </row>
    <row r="439" spans="1:9">
      <c r="A439" s="411"/>
      <c r="B439" s="411"/>
      <c r="C439" s="411"/>
      <c r="D439" s="409"/>
      <c r="E439" s="443"/>
      <c r="F439" s="443"/>
      <c r="G439" s="411"/>
      <c r="H439" s="411"/>
      <c r="I439" s="411"/>
    </row>
    <row r="440" spans="1:9">
      <c r="A440" s="411"/>
      <c r="B440" s="411"/>
      <c r="C440" s="411"/>
      <c r="D440" s="409"/>
      <c r="E440" s="443"/>
      <c r="F440" s="443"/>
      <c r="G440" s="411"/>
      <c r="H440" s="411"/>
      <c r="I440" s="411"/>
    </row>
    <row r="441" spans="1:9">
      <c r="A441" s="411"/>
      <c r="B441" s="411"/>
      <c r="C441" s="411"/>
      <c r="D441" s="409"/>
      <c r="E441" s="443"/>
      <c r="F441" s="443"/>
      <c r="G441" s="411"/>
      <c r="H441" s="411"/>
      <c r="I441" s="411"/>
    </row>
    <row r="442" spans="1:9">
      <c r="A442" s="411"/>
      <c r="B442" s="411"/>
      <c r="C442" s="411"/>
      <c r="D442" s="409"/>
      <c r="E442" s="443"/>
      <c r="F442" s="443"/>
      <c r="G442" s="411"/>
      <c r="H442" s="411"/>
      <c r="I442" s="411"/>
    </row>
    <row r="443" spans="1:9">
      <c r="A443" s="411"/>
      <c r="B443" s="411"/>
      <c r="C443" s="411"/>
      <c r="D443" s="409"/>
      <c r="E443" s="443"/>
      <c r="F443" s="443"/>
      <c r="G443" s="411"/>
      <c r="H443" s="411"/>
      <c r="I443" s="411"/>
    </row>
    <row r="444" spans="1:9">
      <c r="A444" s="411"/>
      <c r="B444" s="411"/>
      <c r="C444" s="411"/>
      <c r="D444" s="409"/>
      <c r="E444" s="443"/>
      <c r="F444" s="443"/>
      <c r="G444" s="411"/>
      <c r="H444" s="411"/>
      <c r="I444" s="411"/>
    </row>
    <row r="445" spans="1:9">
      <c r="A445" s="411"/>
      <c r="B445" s="411"/>
      <c r="C445" s="411"/>
      <c r="D445" s="409"/>
      <c r="E445" s="443"/>
      <c r="F445" s="443"/>
      <c r="G445" s="411"/>
      <c r="H445" s="411"/>
      <c r="I445" s="411"/>
    </row>
    <row r="446" spans="1:9">
      <c r="A446" s="411"/>
      <c r="B446" s="411"/>
      <c r="C446" s="411"/>
      <c r="D446" s="409"/>
      <c r="E446" s="443"/>
      <c r="F446" s="443"/>
      <c r="G446" s="411"/>
      <c r="H446" s="411"/>
      <c r="I446" s="411"/>
    </row>
    <row r="447" spans="1:9">
      <c r="A447" s="411"/>
      <c r="B447" s="411"/>
      <c r="C447" s="411"/>
      <c r="D447" s="409"/>
      <c r="E447" s="443"/>
      <c r="F447" s="443"/>
      <c r="G447" s="411"/>
      <c r="H447" s="411"/>
      <c r="I447" s="411"/>
    </row>
    <row r="448" spans="1:9">
      <c r="A448" s="411"/>
      <c r="B448" s="411"/>
      <c r="C448" s="411"/>
      <c r="D448" s="409"/>
      <c r="E448" s="443"/>
      <c r="F448" s="443"/>
      <c r="G448" s="411"/>
      <c r="H448" s="411"/>
      <c r="I448" s="411"/>
    </row>
    <row r="449" spans="1:9">
      <c r="A449" s="411"/>
      <c r="B449" s="411"/>
      <c r="C449" s="411"/>
      <c r="D449" s="409"/>
      <c r="E449" s="443"/>
      <c r="F449" s="443"/>
      <c r="G449" s="411"/>
      <c r="H449" s="411"/>
      <c r="I449" s="411"/>
    </row>
    <row r="450" spans="1:9">
      <c r="A450" s="411"/>
      <c r="B450" s="411"/>
      <c r="C450" s="411"/>
      <c r="D450" s="409"/>
      <c r="E450" s="443"/>
      <c r="F450" s="443"/>
      <c r="G450" s="411"/>
      <c r="H450" s="411"/>
      <c r="I450" s="411"/>
    </row>
    <row r="451" spans="1:9">
      <c r="A451" s="411"/>
      <c r="B451" s="411"/>
      <c r="C451" s="411"/>
      <c r="D451" s="409"/>
      <c r="E451" s="443"/>
      <c r="F451" s="443"/>
      <c r="G451" s="411"/>
      <c r="H451" s="411"/>
      <c r="I451" s="411"/>
    </row>
    <row r="452" spans="1:9">
      <c r="A452" s="411"/>
      <c r="B452" s="411"/>
      <c r="C452" s="411"/>
      <c r="D452" s="409"/>
      <c r="E452" s="443"/>
      <c r="F452" s="443"/>
      <c r="G452" s="411"/>
      <c r="H452" s="411"/>
      <c r="I452" s="411"/>
    </row>
    <row r="453" spans="1:9">
      <c r="A453" s="411"/>
      <c r="B453" s="411"/>
      <c r="C453" s="411"/>
      <c r="D453" s="409"/>
      <c r="E453" s="443"/>
      <c r="F453" s="443"/>
      <c r="G453" s="411"/>
      <c r="H453" s="411"/>
      <c r="I453" s="411"/>
    </row>
    <row r="454" spans="1:9">
      <c r="A454" s="411"/>
      <c r="B454" s="411"/>
      <c r="C454" s="411"/>
      <c r="D454" s="409"/>
      <c r="E454" s="443"/>
      <c r="F454" s="443"/>
      <c r="G454" s="411"/>
      <c r="H454" s="411"/>
      <c r="I454" s="411"/>
    </row>
    <row r="455" spans="1:9">
      <c r="A455" s="411"/>
      <c r="B455" s="411"/>
      <c r="C455" s="411"/>
      <c r="D455" s="409"/>
      <c r="E455" s="443"/>
      <c r="F455" s="443"/>
      <c r="G455" s="411"/>
      <c r="H455" s="411"/>
      <c r="I455" s="411"/>
    </row>
    <row r="456" spans="1:9">
      <c r="A456" s="411"/>
      <c r="B456" s="411"/>
      <c r="C456" s="411"/>
      <c r="D456" s="409"/>
      <c r="E456" s="443"/>
      <c r="F456" s="443"/>
      <c r="G456" s="411"/>
      <c r="H456" s="411"/>
      <c r="I456" s="411"/>
    </row>
    <row r="457" spans="1:9">
      <c r="A457" s="411"/>
      <c r="B457" s="411"/>
      <c r="C457" s="411"/>
      <c r="D457" s="409"/>
      <c r="E457" s="443"/>
      <c r="F457" s="443"/>
      <c r="G457" s="411"/>
      <c r="H457" s="411"/>
      <c r="I457" s="411"/>
    </row>
    <row r="458" spans="1:9">
      <c r="A458" s="411"/>
      <c r="B458" s="411"/>
      <c r="C458" s="411"/>
      <c r="D458" s="409"/>
      <c r="E458" s="443"/>
      <c r="F458" s="443"/>
      <c r="G458" s="411"/>
      <c r="H458" s="411"/>
      <c r="I458" s="411"/>
    </row>
    <row r="459" spans="1:9">
      <c r="A459" s="411"/>
      <c r="B459" s="411"/>
      <c r="C459" s="411"/>
      <c r="D459" s="409"/>
      <c r="E459" s="443"/>
      <c r="F459" s="443"/>
      <c r="G459" s="411"/>
      <c r="H459" s="411"/>
      <c r="I459" s="411"/>
    </row>
    <row r="460" spans="1:9">
      <c r="A460" s="411"/>
      <c r="B460" s="411"/>
      <c r="C460" s="411"/>
      <c r="D460" s="409"/>
      <c r="E460" s="443"/>
      <c r="F460" s="443"/>
      <c r="G460" s="411"/>
      <c r="H460" s="411"/>
      <c r="I460" s="411"/>
    </row>
    <row r="461" spans="1:9">
      <c r="A461" s="411"/>
      <c r="B461" s="411"/>
      <c r="C461" s="411"/>
      <c r="D461" s="409"/>
      <c r="E461" s="443"/>
      <c r="F461" s="443"/>
      <c r="G461" s="411"/>
      <c r="H461" s="411"/>
      <c r="I461" s="411"/>
    </row>
    <row r="462" spans="1:9">
      <c r="A462" s="411"/>
      <c r="B462" s="411"/>
      <c r="C462" s="411"/>
      <c r="D462" s="409"/>
      <c r="E462" s="443"/>
      <c r="F462" s="443"/>
      <c r="G462" s="411"/>
      <c r="H462" s="411"/>
      <c r="I462" s="411"/>
    </row>
    <row r="463" spans="1:9">
      <c r="A463" s="411"/>
      <c r="B463" s="411"/>
      <c r="C463" s="411"/>
      <c r="D463" s="409"/>
      <c r="E463" s="443"/>
      <c r="F463" s="443"/>
      <c r="G463" s="411"/>
      <c r="H463" s="411"/>
      <c r="I463" s="411"/>
    </row>
    <row r="464" spans="1:9">
      <c r="A464" s="411"/>
      <c r="B464" s="411"/>
      <c r="C464" s="411"/>
      <c r="D464" s="409"/>
      <c r="E464" s="443"/>
      <c r="F464" s="443"/>
      <c r="G464" s="411"/>
      <c r="H464" s="411"/>
      <c r="I464" s="411"/>
    </row>
    <row r="465" spans="1:9">
      <c r="A465" s="411"/>
      <c r="B465" s="411"/>
      <c r="C465" s="411"/>
      <c r="D465" s="409"/>
      <c r="E465" s="443"/>
      <c r="F465" s="443"/>
      <c r="G465" s="411"/>
      <c r="H465" s="411"/>
      <c r="I465" s="411"/>
    </row>
    <row r="466" spans="1:9">
      <c r="A466" s="411"/>
      <c r="B466" s="411"/>
      <c r="C466" s="411"/>
      <c r="D466" s="409"/>
      <c r="E466" s="443"/>
      <c r="F466" s="443"/>
      <c r="G466" s="411"/>
      <c r="H466" s="411"/>
      <c r="I466" s="411"/>
    </row>
    <row r="467" spans="1:9">
      <c r="A467" s="411"/>
      <c r="B467" s="411"/>
      <c r="C467" s="411"/>
      <c r="D467" s="409"/>
      <c r="E467" s="443"/>
      <c r="F467" s="443"/>
      <c r="G467" s="411"/>
      <c r="H467" s="411"/>
      <c r="I467" s="411"/>
    </row>
    <row r="468" spans="1:9">
      <c r="A468" s="411"/>
      <c r="B468" s="411"/>
      <c r="C468" s="411"/>
      <c r="D468" s="409"/>
      <c r="E468" s="443"/>
      <c r="F468" s="443"/>
      <c r="G468" s="411"/>
      <c r="H468" s="411"/>
      <c r="I468" s="411"/>
    </row>
    <row r="469" spans="1:9">
      <c r="A469" s="411"/>
      <c r="B469" s="411"/>
      <c r="C469" s="411"/>
      <c r="D469" s="409"/>
      <c r="E469" s="443"/>
      <c r="F469" s="443"/>
      <c r="G469" s="411"/>
      <c r="H469" s="411"/>
      <c r="I469" s="411"/>
    </row>
    <row r="470" spans="1:9">
      <c r="A470" s="411"/>
      <c r="B470" s="411"/>
      <c r="C470" s="411"/>
      <c r="D470" s="409"/>
      <c r="E470" s="443"/>
      <c r="F470" s="443"/>
      <c r="G470" s="411"/>
      <c r="H470" s="411"/>
      <c r="I470" s="411"/>
    </row>
    <row r="471" spans="1:9">
      <c r="A471" s="411"/>
      <c r="B471" s="411"/>
      <c r="C471" s="411"/>
      <c r="D471" s="409"/>
      <c r="E471" s="443"/>
      <c r="F471" s="443"/>
      <c r="G471" s="411"/>
      <c r="H471" s="411"/>
      <c r="I471" s="411"/>
    </row>
    <row r="472" spans="1:9">
      <c r="A472" s="411"/>
      <c r="B472" s="411"/>
      <c r="C472" s="411"/>
      <c r="D472" s="409"/>
      <c r="E472" s="443"/>
      <c r="F472" s="443"/>
      <c r="G472" s="411"/>
      <c r="H472" s="411"/>
      <c r="I472" s="411"/>
    </row>
    <row r="473" spans="1:9">
      <c r="A473" s="411"/>
      <c r="B473" s="411"/>
      <c r="C473" s="411"/>
      <c r="D473" s="409"/>
      <c r="E473" s="443"/>
      <c r="F473" s="443"/>
      <c r="G473" s="411"/>
      <c r="H473" s="411"/>
      <c r="I473" s="411"/>
    </row>
    <row r="474" spans="1:9">
      <c r="A474" s="411"/>
      <c r="B474" s="411"/>
      <c r="C474" s="411"/>
      <c r="D474" s="409"/>
      <c r="E474" s="443"/>
      <c r="F474" s="443"/>
      <c r="G474" s="411"/>
      <c r="H474" s="411"/>
      <c r="I474" s="411"/>
    </row>
    <row r="475" spans="1:9">
      <c r="A475" s="411"/>
      <c r="B475" s="411"/>
      <c r="C475" s="411"/>
      <c r="D475" s="409"/>
      <c r="E475" s="443"/>
      <c r="F475" s="443"/>
      <c r="G475" s="411"/>
      <c r="H475" s="411"/>
      <c r="I475" s="411"/>
    </row>
    <row r="476" spans="1:9">
      <c r="A476" s="411"/>
      <c r="B476" s="411"/>
      <c r="C476" s="411"/>
      <c r="D476" s="409"/>
      <c r="E476" s="443"/>
      <c r="F476" s="443"/>
      <c r="G476" s="411"/>
      <c r="H476" s="411"/>
      <c r="I476" s="411"/>
    </row>
    <row r="477" spans="1:9">
      <c r="A477" s="411"/>
      <c r="B477" s="411"/>
      <c r="C477" s="411"/>
      <c r="D477" s="409"/>
      <c r="E477" s="443"/>
      <c r="F477" s="443"/>
      <c r="G477" s="411"/>
      <c r="H477" s="411"/>
      <c r="I477" s="411"/>
    </row>
    <row r="478" spans="1:9">
      <c r="A478" s="411"/>
      <c r="B478" s="411"/>
      <c r="C478" s="411"/>
      <c r="D478" s="409"/>
      <c r="E478" s="443"/>
      <c r="F478" s="443"/>
      <c r="G478" s="411"/>
      <c r="H478" s="411"/>
      <c r="I478" s="411"/>
    </row>
    <row r="479" spans="1:9">
      <c r="A479" s="411"/>
      <c r="B479" s="411"/>
      <c r="C479" s="411"/>
      <c r="D479" s="409"/>
      <c r="E479" s="443"/>
      <c r="F479" s="443"/>
      <c r="G479" s="411"/>
      <c r="H479" s="411"/>
      <c r="I479" s="411"/>
    </row>
    <row r="480" spans="1:9">
      <c r="A480" s="411"/>
      <c r="B480" s="411"/>
      <c r="C480" s="411"/>
      <c r="D480" s="409"/>
      <c r="E480" s="443"/>
      <c r="F480" s="443"/>
      <c r="G480" s="411"/>
      <c r="H480" s="411"/>
      <c r="I480" s="411"/>
    </row>
    <row r="481" spans="1:9">
      <c r="A481" s="411"/>
      <c r="B481" s="411"/>
      <c r="C481" s="411"/>
      <c r="D481" s="409"/>
      <c r="E481" s="443"/>
      <c r="F481" s="443"/>
      <c r="G481" s="411"/>
      <c r="H481" s="411"/>
      <c r="I481" s="411"/>
    </row>
    <row r="482" spans="1:9">
      <c r="A482" s="411"/>
      <c r="B482" s="411"/>
      <c r="C482" s="411"/>
      <c r="D482" s="409"/>
      <c r="E482" s="443"/>
      <c r="F482" s="443"/>
      <c r="G482" s="411"/>
      <c r="H482" s="411"/>
      <c r="I482" s="411"/>
    </row>
    <row r="483" spans="1:9">
      <c r="A483" s="411"/>
      <c r="B483" s="411"/>
      <c r="C483" s="411"/>
      <c r="D483" s="409"/>
      <c r="E483" s="443"/>
      <c r="F483" s="443"/>
      <c r="G483" s="411"/>
      <c r="H483" s="411"/>
      <c r="I483" s="411"/>
    </row>
    <row r="484" spans="1:9">
      <c r="A484" s="411"/>
      <c r="B484" s="411"/>
      <c r="C484" s="411"/>
      <c r="D484" s="409"/>
      <c r="E484" s="443"/>
      <c r="F484" s="443"/>
      <c r="G484" s="411"/>
      <c r="H484" s="411"/>
      <c r="I484" s="411"/>
    </row>
    <row r="485" spans="1:9">
      <c r="A485" s="411"/>
      <c r="B485" s="411"/>
      <c r="C485" s="411"/>
      <c r="D485" s="409"/>
      <c r="E485" s="443"/>
      <c r="F485" s="443"/>
      <c r="G485" s="411"/>
      <c r="H485" s="411"/>
      <c r="I485" s="411"/>
    </row>
    <row r="486" spans="1:9">
      <c r="A486" s="411"/>
      <c r="B486" s="411"/>
      <c r="C486" s="411"/>
      <c r="D486" s="409"/>
      <c r="E486" s="443"/>
      <c r="F486" s="443"/>
      <c r="G486" s="411"/>
      <c r="H486" s="411"/>
      <c r="I486" s="411"/>
    </row>
    <row r="487" spans="1:9">
      <c r="A487" s="411"/>
      <c r="B487" s="411"/>
      <c r="C487" s="411"/>
      <c r="D487" s="409"/>
      <c r="E487" s="443"/>
      <c r="F487" s="443"/>
      <c r="G487" s="411"/>
      <c r="H487" s="411"/>
      <c r="I487" s="411"/>
    </row>
    <row r="488" spans="1:9">
      <c r="A488" s="411"/>
      <c r="B488" s="411"/>
      <c r="C488" s="411"/>
      <c r="D488" s="409"/>
      <c r="E488" s="443"/>
      <c r="F488" s="443"/>
      <c r="G488" s="411"/>
      <c r="H488" s="411"/>
      <c r="I488" s="411"/>
    </row>
    <row r="489" spans="1:9">
      <c r="A489" s="411"/>
      <c r="B489" s="411"/>
      <c r="C489" s="411"/>
      <c r="D489" s="409"/>
      <c r="E489" s="443"/>
      <c r="F489" s="443"/>
      <c r="G489" s="411"/>
      <c r="H489" s="411"/>
      <c r="I489" s="411"/>
    </row>
    <row r="490" spans="1:9">
      <c r="A490" s="411"/>
      <c r="B490" s="411"/>
      <c r="C490" s="411"/>
      <c r="D490" s="409"/>
      <c r="E490" s="443"/>
      <c r="F490" s="443"/>
      <c r="G490" s="411"/>
      <c r="H490" s="411"/>
      <c r="I490" s="411"/>
    </row>
    <row r="491" spans="1:9">
      <c r="A491" s="411"/>
      <c r="B491" s="411"/>
      <c r="C491" s="411"/>
      <c r="D491" s="409"/>
      <c r="E491" s="443"/>
      <c r="F491" s="443"/>
      <c r="G491" s="411"/>
      <c r="H491" s="411"/>
      <c r="I491" s="411"/>
    </row>
    <row r="492" spans="1:9">
      <c r="A492" s="411"/>
      <c r="B492" s="411"/>
      <c r="C492" s="411"/>
      <c r="D492" s="409"/>
      <c r="E492" s="443"/>
      <c r="F492" s="443"/>
      <c r="G492" s="411"/>
      <c r="H492" s="411"/>
      <c r="I492" s="411"/>
    </row>
    <row r="493" spans="1:9">
      <c r="A493" s="411"/>
      <c r="B493" s="411"/>
      <c r="C493" s="411"/>
      <c r="D493" s="409"/>
      <c r="E493" s="443"/>
      <c r="F493" s="443"/>
      <c r="G493" s="411"/>
      <c r="H493" s="411"/>
      <c r="I493" s="411"/>
    </row>
    <row r="494" spans="1:9">
      <c r="A494" s="411"/>
      <c r="B494" s="411"/>
      <c r="C494" s="411"/>
      <c r="D494" s="409"/>
      <c r="E494" s="443"/>
      <c r="F494" s="443"/>
      <c r="G494" s="411"/>
      <c r="H494" s="411"/>
      <c r="I494" s="411"/>
    </row>
    <row r="495" spans="1:9">
      <c r="A495" s="411"/>
      <c r="B495" s="411"/>
      <c r="C495" s="411"/>
      <c r="D495" s="409"/>
      <c r="E495" s="443"/>
      <c r="F495" s="443"/>
      <c r="G495" s="411"/>
      <c r="H495" s="411"/>
      <c r="I495" s="411"/>
    </row>
    <row r="496" spans="1:9">
      <c r="A496" s="411"/>
      <c r="B496" s="411"/>
      <c r="C496" s="411"/>
      <c r="D496" s="409"/>
      <c r="E496" s="443"/>
      <c r="F496" s="443"/>
      <c r="G496" s="411"/>
      <c r="H496" s="411"/>
      <c r="I496" s="411"/>
    </row>
    <row r="497" spans="1:9">
      <c r="A497" s="411"/>
      <c r="B497" s="411"/>
      <c r="C497" s="411"/>
      <c r="D497" s="409"/>
      <c r="E497" s="443"/>
      <c r="F497" s="443"/>
      <c r="G497" s="411"/>
      <c r="H497" s="411"/>
      <c r="I497" s="411"/>
    </row>
    <row r="498" spans="1:9">
      <c r="A498" s="411"/>
      <c r="B498" s="411"/>
      <c r="C498" s="411"/>
      <c r="D498" s="409"/>
      <c r="E498" s="443"/>
      <c r="F498" s="443"/>
      <c r="G498" s="411"/>
      <c r="H498" s="411"/>
      <c r="I498" s="411"/>
    </row>
    <row r="499" spans="1:9">
      <c r="A499" s="411"/>
      <c r="B499" s="411"/>
      <c r="C499" s="411"/>
      <c r="D499" s="409"/>
      <c r="E499" s="443"/>
      <c r="F499" s="443"/>
      <c r="G499" s="411"/>
      <c r="H499" s="411"/>
      <c r="I499" s="411"/>
    </row>
    <row r="500" spans="1:9">
      <c r="A500" s="411"/>
      <c r="B500" s="411"/>
      <c r="C500" s="411"/>
      <c r="D500" s="409"/>
      <c r="E500" s="443"/>
      <c r="F500" s="443"/>
      <c r="G500" s="411"/>
      <c r="H500" s="411"/>
      <c r="I500" s="411"/>
    </row>
    <row r="501" spans="1:9">
      <c r="A501" s="411"/>
      <c r="B501" s="411"/>
      <c r="C501" s="411"/>
      <c r="D501" s="409"/>
      <c r="E501" s="443"/>
      <c r="F501" s="443"/>
      <c r="G501" s="411"/>
      <c r="H501" s="411"/>
      <c r="I501" s="411"/>
    </row>
    <row r="502" spans="1:9">
      <c r="A502" s="411"/>
      <c r="B502" s="411"/>
      <c r="C502" s="411"/>
      <c r="D502" s="409"/>
      <c r="E502" s="443"/>
      <c r="F502" s="443"/>
      <c r="G502" s="411"/>
      <c r="H502" s="411"/>
      <c r="I502" s="411"/>
    </row>
    <row r="503" spans="1:9">
      <c r="A503" s="411"/>
      <c r="B503" s="411"/>
      <c r="C503" s="411"/>
      <c r="D503" s="409"/>
      <c r="E503" s="443"/>
      <c r="F503" s="443"/>
      <c r="G503" s="411"/>
      <c r="H503" s="411"/>
      <c r="I503" s="411"/>
    </row>
    <row r="504" spans="1:9">
      <c r="A504" s="411"/>
      <c r="B504" s="411"/>
      <c r="C504" s="411"/>
      <c r="D504" s="409"/>
      <c r="E504" s="443"/>
      <c r="F504" s="443"/>
      <c r="G504" s="411"/>
      <c r="H504" s="411"/>
      <c r="I504" s="411"/>
    </row>
    <row r="505" spans="1:9">
      <c r="A505" s="411"/>
      <c r="B505" s="411"/>
      <c r="C505" s="411"/>
      <c r="D505" s="409"/>
      <c r="E505" s="443"/>
      <c r="F505" s="443"/>
      <c r="G505" s="411"/>
      <c r="H505" s="411"/>
      <c r="I505" s="411"/>
    </row>
    <row r="506" spans="1:9">
      <c r="A506" s="411"/>
      <c r="B506" s="411"/>
      <c r="C506" s="411"/>
      <c r="D506" s="409"/>
      <c r="E506" s="443"/>
      <c r="F506" s="443"/>
      <c r="G506" s="411"/>
      <c r="H506" s="411"/>
      <c r="I506" s="411"/>
    </row>
    <row r="507" spans="1:9">
      <c r="A507" s="411"/>
      <c r="B507" s="411"/>
      <c r="C507" s="411"/>
      <c r="D507" s="409"/>
      <c r="E507" s="443"/>
      <c r="F507" s="443"/>
      <c r="G507" s="411"/>
      <c r="H507" s="411"/>
      <c r="I507" s="411"/>
    </row>
    <row r="508" spans="1:9">
      <c r="A508" s="411"/>
      <c r="B508" s="411"/>
      <c r="C508" s="411"/>
      <c r="D508" s="409"/>
      <c r="E508" s="443"/>
      <c r="F508" s="443"/>
      <c r="G508" s="411"/>
      <c r="H508" s="411"/>
      <c r="I508" s="411"/>
    </row>
    <row r="509" spans="1:9">
      <c r="A509" s="411"/>
      <c r="B509" s="411"/>
      <c r="C509" s="411"/>
      <c r="D509" s="409"/>
      <c r="E509" s="443"/>
      <c r="F509" s="443"/>
      <c r="G509" s="411"/>
      <c r="H509" s="411"/>
      <c r="I509" s="411"/>
    </row>
    <row r="510" spans="1:9">
      <c r="A510" s="411"/>
      <c r="B510" s="411"/>
      <c r="C510" s="411"/>
      <c r="D510" s="409"/>
      <c r="E510" s="443"/>
      <c r="F510" s="443"/>
      <c r="G510" s="411"/>
      <c r="H510" s="411"/>
      <c r="I510" s="411"/>
    </row>
    <row r="511" spans="1:9">
      <c r="A511" s="411"/>
      <c r="B511" s="411"/>
      <c r="C511" s="411"/>
      <c r="D511" s="409"/>
      <c r="E511" s="443"/>
      <c r="F511" s="443"/>
      <c r="G511" s="411"/>
      <c r="H511" s="411"/>
      <c r="I511" s="411"/>
    </row>
    <row r="512" spans="1:9">
      <c r="A512" s="411"/>
      <c r="B512" s="411"/>
      <c r="C512" s="411"/>
      <c r="D512" s="409"/>
      <c r="E512" s="443"/>
      <c r="F512" s="443"/>
      <c r="G512" s="411"/>
      <c r="H512" s="411"/>
      <c r="I512" s="411"/>
    </row>
    <row r="513" spans="1:9">
      <c r="A513" s="411"/>
      <c r="B513" s="411"/>
      <c r="C513" s="411"/>
      <c r="D513" s="409"/>
      <c r="E513" s="443"/>
      <c r="F513" s="443"/>
      <c r="G513" s="411"/>
      <c r="H513" s="411"/>
      <c r="I513" s="411"/>
    </row>
    <row r="514" spans="1:9">
      <c r="A514" s="411"/>
      <c r="B514" s="411"/>
      <c r="C514" s="411"/>
      <c r="D514" s="409"/>
      <c r="E514" s="443"/>
      <c r="F514" s="443"/>
      <c r="G514" s="411"/>
      <c r="H514" s="411"/>
      <c r="I514" s="411"/>
    </row>
    <row r="515" spans="1:9">
      <c r="A515" s="411"/>
      <c r="B515" s="411"/>
      <c r="C515" s="411"/>
      <c r="D515" s="409"/>
      <c r="E515" s="443"/>
      <c r="F515" s="443"/>
      <c r="G515" s="411"/>
      <c r="H515" s="411"/>
      <c r="I515" s="411"/>
    </row>
    <row r="516" spans="1:9">
      <c r="A516" s="411"/>
      <c r="B516" s="411"/>
      <c r="C516" s="411"/>
      <c r="D516" s="409"/>
      <c r="E516" s="443"/>
      <c r="F516" s="443"/>
      <c r="G516" s="411"/>
      <c r="H516" s="411"/>
      <c r="I516" s="411"/>
    </row>
    <row r="517" spans="1:9">
      <c r="A517" s="411"/>
      <c r="B517" s="411"/>
      <c r="C517" s="411"/>
      <c r="D517" s="409"/>
      <c r="E517" s="443"/>
      <c r="F517" s="443"/>
      <c r="G517" s="411"/>
      <c r="H517" s="411"/>
      <c r="I517" s="411"/>
    </row>
    <row r="518" spans="1:9">
      <c r="A518" s="411"/>
      <c r="B518" s="411"/>
      <c r="C518" s="411"/>
      <c r="D518" s="409"/>
      <c r="E518" s="443"/>
      <c r="F518" s="443"/>
      <c r="G518" s="411"/>
      <c r="H518" s="411"/>
      <c r="I518" s="411"/>
    </row>
    <row r="519" spans="1:9">
      <c r="A519" s="411"/>
      <c r="B519" s="411"/>
      <c r="C519" s="411"/>
      <c r="D519" s="409"/>
      <c r="E519" s="443"/>
      <c r="F519" s="443"/>
      <c r="G519" s="411"/>
      <c r="H519" s="411"/>
      <c r="I519" s="411"/>
    </row>
    <row r="520" spans="1:9">
      <c r="A520" s="411"/>
      <c r="B520" s="411"/>
      <c r="C520" s="411"/>
      <c r="D520" s="409"/>
      <c r="E520" s="443"/>
      <c r="F520" s="443"/>
      <c r="G520" s="411"/>
      <c r="H520" s="411"/>
      <c r="I520" s="411"/>
    </row>
    <row r="521" spans="1:9">
      <c r="A521" s="411"/>
      <c r="B521" s="411"/>
      <c r="C521" s="411"/>
      <c r="D521" s="409"/>
      <c r="E521" s="443"/>
      <c r="F521" s="443"/>
      <c r="G521" s="411"/>
      <c r="H521" s="411"/>
      <c r="I521" s="411"/>
    </row>
    <row r="522" spans="1:9">
      <c r="A522" s="411"/>
      <c r="B522" s="411"/>
      <c r="C522" s="411"/>
      <c r="D522" s="409"/>
      <c r="E522" s="443"/>
      <c r="F522" s="443"/>
      <c r="G522" s="411"/>
      <c r="H522" s="411"/>
      <c r="I522" s="411"/>
    </row>
    <row r="523" spans="1:9">
      <c r="A523" s="411"/>
      <c r="B523" s="411"/>
      <c r="C523" s="411"/>
      <c r="D523" s="409"/>
      <c r="E523" s="443"/>
      <c r="F523" s="443"/>
      <c r="G523" s="411"/>
      <c r="H523" s="411"/>
      <c r="I523" s="411"/>
    </row>
    <row r="524" spans="1:9">
      <c r="A524" s="411"/>
      <c r="B524" s="411"/>
      <c r="C524" s="411"/>
      <c r="D524" s="409"/>
      <c r="E524" s="443"/>
      <c r="F524" s="443"/>
      <c r="G524" s="411"/>
      <c r="H524" s="411"/>
      <c r="I524" s="411"/>
    </row>
    <row r="525" spans="1:9">
      <c r="A525" s="411"/>
      <c r="B525" s="411"/>
      <c r="C525" s="411"/>
      <c r="D525" s="409"/>
      <c r="E525" s="443"/>
      <c r="F525" s="443"/>
      <c r="G525" s="411"/>
      <c r="H525" s="411"/>
      <c r="I525" s="411"/>
    </row>
    <row r="526" spans="1:9">
      <c r="A526" s="411"/>
      <c r="B526" s="411"/>
      <c r="C526" s="411"/>
      <c r="D526" s="409"/>
      <c r="E526" s="443"/>
      <c r="F526" s="443"/>
      <c r="G526" s="411"/>
      <c r="H526" s="411"/>
      <c r="I526" s="411"/>
    </row>
    <row r="527" spans="1:9">
      <c r="A527" s="411"/>
      <c r="B527" s="411"/>
      <c r="C527" s="411"/>
      <c r="D527" s="409"/>
      <c r="E527" s="443"/>
      <c r="F527" s="443"/>
      <c r="G527" s="411"/>
      <c r="H527" s="411"/>
      <c r="I527" s="411"/>
    </row>
    <row r="528" spans="1:9">
      <c r="A528" s="411"/>
      <c r="B528" s="411"/>
      <c r="C528" s="411"/>
      <c r="D528" s="409"/>
      <c r="E528" s="443"/>
      <c r="F528" s="443"/>
      <c r="G528" s="411"/>
      <c r="H528" s="411"/>
      <c r="I528" s="411"/>
    </row>
    <row r="529" spans="1:9">
      <c r="A529" s="411"/>
      <c r="B529" s="411"/>
      <c r="C529" s="411"/>
      <c r="D529" s="409"/>
      <c r="E529" s="443"/>
      <c r="F529" s="443"/>
      <c r="G529" s="411"/>
      <c r="H529" s="411"/>
      <c r="I529" s="411"/>
    </row>
    <row r="530" spans="1:9">
      <c r="A530" s="411"/>
      <c r="B530" s="411"/>
      <c r="C530" s="411"/>
      <c r="D530" s="409"/>
      <c r="E530" s="443"/>
      <c r="F530" s="443"/>
      <c r="G530" s="411"/>
      <c r="H530" s="411"/>
      <c r="I530" s="411"/>
    </row>
    <row r="531" spans="1:9">
      <c r="A531" s="411"/>
      <c r="B531" s="411"/>
      <c r="C531" s="411"/>
      <c r="D531" s="409"/>
      <c r="E531" s="443"/>
      <c r="F531" s="443"/>
      <c r="G531" s="411"/>
      <c r="H531" s="411"/>
      <c r="I531" s="411"/>
    </row>
    <row r="532" spans="1:9">
      <c r="A532" s="411"/>
      <c r="B532" s="411"/>
      <c r="C532" s="411"/>
      <c r="D532" s="409"/>
      <c r="E532" s="443"/>
      <c r="F532" s="443"/>
      <c r="G532" s="411"/>
      <c r="H532" s="411"/>
      <c r="I532" s="411"/>
    </row>
    <row r="533" spans="1:9">
      <c r="A533" s="411"/>
      <c r="B533" s="411"/>
      <c r="C533" s="411"/>
      <c r="D533" s="409"/>
      <c r="E533" s="443"/>
      <c r="F533" s="443"/>
      <c r="G533" s="411"/>
      <c r="H533" s="411"/>
      <c r="I533" s="411"/>
    </row>
    <row r="534" spans="1:9">
      <c r="A534" s="411"/>
      <c r="B534" s="411"/>
      <c r="C534" s="411"/>
      <c r="D534" s="409"/>
      <c r="E534" s="443"/>
      <c r="F534" s="443"/>
      <c r="G534" s="411"/>
      <c r="H534" s="411"/>
      <c r="I534" s="411"/>
    </row>
    <row r="535" spans="1:9">
      <c r="A535" s="411"/>
      <c r="B535" s="411"/>
      <c r="C535" s="411"/>
      <c r="D535" s="409"/>
      <c r="E535" s="443"/>
      <c r="F535" s="443"/>
      <c r="G535" s="411"/>
      <c r="H535" s="411"/>
      <c r="I535" s="411"/>
    </row>
    <row r="536" spans="1:9">
      <c r="A536" s="411"/>
      <c r="B536" s="411"/>
      <c r="C536" s="411"/>
      <c r="D536" s="409"/>
      <c r="E536" s="443"/>
      <c r="F536" s="443"/>
      <c r="G536" s="411"/>
      <c r="H536" s="411"/>
      <c r="I536" s="411"/>
    </row>
    <row r="537" spans="1:9">
      <c r="A537" s="411"/>
      <c r="B537" s="411"/>
      <c r="C537" s="411"/>
      <c r="D537" s="409"/>
      <c r="E537" s="443"/>
      <c r="F537" s="443"/>
      <c r="G537" s="411"/>
      <c r="H537" s="411"/>
      <c r="I537" s="411"/>
    </row>
    <row r="538" spans="1:9">
      <c r="A538" s="411"/>
      <c r="B538" s="411"/>
      <c r="C538" s="411"/>
      <c r="D538" s="409"/>
      <c r="E538" s="443"/>
      <c r="F538" s="443"/>
      <c r="G538" s="411"/>
      <c r="H538" s="411"/>
      <c r="I538" s="411"/>
    </row>
    <row r="539" spans="1:9">
      <c r="A539" s="411"/>
      <c r="B539" s="411"/>
      <c r="C539" s="411"/>
      <c r="D539" s="409"/>
      <c r="E539" s="443"/>
      <c r="F539" s="443"/>
      <c r="G539" s="411"/>
      <c r="H539" s="411"/>
      <c r="I539" s="411"/>
    </row>
    <row r="540" spans="1:9">
      <c r="A540" s="411"/>
      <c r="B540" s="411"/>
      <c r="C540" s="411"/>
      <c r="D540" s="409"/>
      <c r="E540" s="443"/>
      <c r="F540" s="443"/>
      <c r="G540" s="411"/>
      <c r="H540" s="411"/>
      <c r="I540" s="411"/>
    </row>
    <row r="541" spans="1:9">
      <c r="A541" s="411"/>
      <c r="B541" s="411"/>
      <c r="C541" s="411"/>
      <c r="D541" s="409"/>
      <c r="E541" s="443"/>
      <c r="F541" s="443"/>
      <c r="G541" s="411"/>
      <c r="H541" s="411"/>
      <c r="I541" s="411"/>
    </row>
    <row r="542" spans="1:9">
      <c r="A542" s="411"/>
      <c r="B542" s="411"/>
      <c r="C542" s="411"/>
      <c r="D542" s="409"/>
      <c r="E542" s="443"/>
      <c r="F542" s="443"/>
      <c r="G542" s="411"/>
      <c r="H542" s="411"/>
      <c r="I542" s="411"/>
    </row>
    <row r="543" spans="1:9">
      <c r="A543" s="411"/>
      <c r="B543" s="411"/>
      <c r="C543" s="411"/>
      <c r="D543" s="409"/>
      <c r="E543" s="443"/>
      <c r="F543" s="443"/>
      <c r="G543" s="411"/>
      <c r="H543" s="411"/>
      <c r="I543" s="411"/>
    </row>
    <row r="544" spans="1:9">
      <c r="A544" s="411"/>
      <c r="B544" s="411"/>
      <c r="C544" s="411"/>
      <c r="D544" s="409"/>
      <c r="E544" s="443"/>
      <c r="F544" s="443"/>
      <c r="G544" s="411"/>
      <c r="H544" s="411"/>
      <c r="I544" s="411"/>
    </row>
    <row r="545" spans="1:9">
      <c r="A545" s="411"/>
      <c r="B545" s="411"/>
      <c r="C545" s="411"/>
      <c r="D545" s="409"/>
      <c r="E545" s="443"/>
      <c r="F545" s="443"/>
      <c r="G545" s="411"/>
      <c r="H545" s="411"/>
      <c r="I545" s="411"/>
    </row>
    <row r="546" spans="1:9">
      <c r="A546" s="411"/>
      <c r="B546" s="411"/>
      <c r="C546" s="411"/>
      <c r="D546" s="409"/>
      <c r="E546" s="443"/>
      <c r="F546" s="443"/>
      <c r="G546" s="411"/>
      <c r="H546" s="411"/>
      <c r="I546" s="411"/>
    </row>
    <row r="547" spans="1:9">
      <c r="A547" s="411"/>
      <c r="B547" s="411"/>
      <c r="C547" s="411"/>
      <c r="D547" s="409"/>
      <c r="E547" s="443"/>
      <c r="F547" s="443"/>
      <c r="G547" s="411"/>
      <c r="H547" s="411"/>
      <c r="I547" s="411"/>
    </row>
    <row r="548" spans="1:9">
      <c r="A548" s="411"/>
      <c r="B548" s="411"/>
      <c r="C548" s="411"/>
      <c r="D548" s="409"/>
      <c r="E548" s="443"/>
      <c r="F548" s="443"/>
      <c r="G548" s="411"/>
      <c r="H548" s="411"/>
      <c r="I548" s="411"/>
    </row>
    <row r="549" spans="1:9">
      <c r="A549" s="411"/>
      <c r="B549" s="411"/>
      <c r="C549" s="411"/>
      <c r="D549" s="409"/>
      <c r="E549" s="443"/>
      <c r="F549" s="443"/>
      <c r="G549" s="411"/>
      <c r="H549" s="411"/>
      <c r="I549" s="411"/>
    </row>
    <row r="550" spans="1:9">
      <c r="A550" s="411"/>
      <c r="B550" s="411"/>
      <c r="C550" s="411"/>
      <c r="D550" s="409"/>
      <c r="E550" s="443"/>
      <c r="F550" s="443"/>
      <c r="G550" s="411"/>
      <c r="H550" s="411"/>
      <c r="I550" s="411"/>
    </row>
    <row r="551" spans="1:9">
      <c r="A551" s="411"/>
      <c r="B551" s="411"/>
      <c r="C551" s="411"/>
      <c r="D551" s="409"/>
      <c r="E551" s="443"/>
      <c r="F551" s="443"/>
      <c r="G551" s="411"/>
      <c r="H551" s="411"/>
      <c r="I551" s="411"/>
    </row>
    <row r="552" spans="1:9">
      <c r="A552" s="411"/>
      <c r="B552" s="411"/>
      <c r="C552" s="411"/>
      <c r="D552" s="409"/>
      <c r="E552" s="443"/>
      <c r="F552" s="443"/>
      <c r="G552" s="411"/>
      <c r="H552" s="411"/>
      <c r="I552" s="411"/>
    </row>
    <row r="553" spans="1:9">
      <c r="A553" s="411"/>
      <c r="B553" s="411"/>
      <c r="C553" s="411"/>
      <c r="D553" s="409"/>
      <c r="E553" s="443"/>
      <c r="F553" s="443"/>
      <c r="G553" s="411"/>
      <c r="H553" s="411"/>
      <c r="I553" s="411"/>
    </row>
    <row r="554" spans="1:9">
      <c r="A554" s="411"/>
      <c r="B554" s="411"/>
      <c r="C554" s="411"/>
      <c r="D554" s="409"/>
      <c r="E554" s="443"/>
      <c r="F554" s="443"/>
      <c r="G554" s="411"/>
      <c r="H554" s="411"/>
      <c r="I554" s="411"/>
    </row>
    <row r="555" spans="1:9">
      <c r="A555" s="411"/>
      <c r="B555" s="411"/>
      <c r="C555" s="411"/>
      <c r="D555" s="409"/>
      <c r="E555" s="443"/>
      <c r="F555" s="443"/>
      <c r="G555" s="411"/>
      <c r="H555" s="411"/>
      <c r="I555" s="411"/>
    </row>
    <row r="556" spans="1:9">
      <c r="A556" s="411"/>
      <c r="B556" s="411"/>
      <c r="C556" s="411"/>
      <c r="D556" s="409"/>
      <c r="E556" s="443"/>
      <c r="F556" s="443"/>
      <c r="G556" s="411"/>
      <c r="H556" s="411"/>
      <c r="I556" s="411"/>
    </row>
    <row r="557" spans="1:9">
      <c r="A557" s="411"/>
      <c r="B557" s="411"/>
      <c r="C557" s="411"/>
      <c r="D557" s="409"/>
      <c r="E557" s="443"/>
      <c r="F557" s="443"/>
      <c r="G557" s="411"/>
      <c r="H557" s="411"/>
      <c r="I557" s="411"/>
    </row>
    <row r="558" spans="1:9">
      <c r="A558" s="411"/>
      <c r="B558" s="411"/>
      <c r="C558" s="411"/>
      <c r="D558" s="409"/>
      <c r="E558" s="443"/>
      <c r="F558" s="443"/>
      <c r="G558" s="25"/>
      <c r="H558" s="25"/>
    </row>
    <row r="559" spans="1:9">
      <c r="A559" s="411"/>
      <c r="B559" s="411"/>
      <c r="C559" s="411"/>
      <c r="D559" s="409"/>
      <c r="E559" s="443"/>
      <c r="F559" s="443"/>
      <c r="G559" s="25"/>
      <c r="H559" s="25"/>
    </row>
    <row r="560" spans="1:9">
      <c r="A560" s="411"/>
      <c r="B560" s="411"/>
      <c r="C560" s="411"/>
      <c r="D560" s="409"/>
      <c r="E560" s="443"/>
      <c r="F560" s="443"/>
      <c r="G560" s="25"/>
      <c r="H560" s="25"/>
    </row>
    <row r="561" spans="1:8">
      <c r="A561" s="411"/>
      <c r="B561" s="411"/>
      <c r="C561" s="411"/>
      <c r="D561" s="409"/>
      <c r="E561" s="443"/>
      <c r="F561" s="443"/>
      <c r="G561" s="25"/>
      <c r="H561" s="25"/>
    </row>
    <row r="562" spans="1:8">
      <c r="A562" s="411"/>
      <c r="B562" s="411"/>
      <c r="C562" s="411"/>
      <c r="D562" s="409"/>
      <c r="E562" s="443"/>
      <c r="F562" s="443"/>
      <c r="G562" s="25"/>
      <c r="H562" s="25"/>
    </row>
    <row r="563" spans="1:8">
      <c r="A563" s="411"/>
      <c r="B563" s="411"/>
      <c r="C563" s="411"/>
      <c r="D563" s="409"/>
      <c r="E563" s="443"/>
      <c r="F563" s="443"/>
      <c r="G563" s="25"/>
      <c r="H563" s="25"/>
    </row>
    <row r="564" spans="1:8">
      <c r="A564" s="411"/>
      <c r="B564" s="411"/>
      <c r="C564" s="411"/>
      <c r="D564" s="409"/>
      <c r="E564" s="443"/>
      <c r="F564" s="443"/>
      <c r="G564" s="25"/>
      <c r="H564" s="25"/>
    </row>
    <row r="565" spans="1:8">
      <c r="A565" s="411"/>
      <c r="B565" s="411"/>
      <c r="C565" s="411"/>
      <c r="D565" s="409"/>
      <c r="E565" s="443"/>
      <c r="F565" s="443"/>
      <c r="G565" s="25"/>
      <c r="H565" s="25"/>
    </row>
    <row r="566" spans="1:8">
      <c r="A566" s="411"/>
      <c r="B566" s="411"/>
      <c r="C566" s="411"/>
      <c r="D566" s="409"/>
      <c r="E566" s="443"/>
      <c r="F566" s="443"/>
      <c r="G566" s="25"/>
      <c r="H566" s="25"/>
    </row>
    <row r="567" spans="1:8">
      <c r="A567" s="411"/>
      <c r="B567" s="411"/>
      <c r="C567" s="410"/>
      <c r="D567" s="409"/>
      <c r="E567" s="412"/>
      <c r="F567" s="412"/>
    </row>
    <row r="568" spans="1:8">
      <c r="A568" s="411"/>
      <c r="B568" s="411"/>
      <c r="C568" s="410"/>
      <c r="D568" s="409"/>
      <c r="E568" s="412"/>
      <c r="F568" s="412"/>
    </row>
    <row r="569" spans="1:8">
      <c r="A569" s="411"/>
      <c r="B569" s="411"/>
      <c r="C569" s="410"/>
      <c r="E569" s="412"/>
      <c r="F569" s="412"/>
    </row>
    <row r="570" spans="1:8">
      <c r="A570" s="411"/>
      <c r="B570" s="411"/>
      <c r="C570" s="410"/>
      <c r="E570" s="412"/>
      <c r="F570" s="412"/>
    </row>
    <row r="571" spans="1:8">
      <c r="A571" s="411"/>
      <c r="B571" s="411"/>
      <c r="C571" s="410"/>
      <c r="E571" s="412"/>
      <c r="F571" s="412"/>
    </row>
    <row r="572" spans="1:8">
      <c r="A572" s="411"/>
      <c r="B572" s="411"/>
      <c r="C572" s="410"/>
      <c r="E572" s="412"/>
      <c r="F572" s="412"/>
    </row>
  </sheetData>
  <mergeCells count="48">
    <mergeCell ref="I7:K7"/>
    <mergeCell ref="A1:K1"/>
    <mergeCell ref="H2:K2"/>
    <mergeCell ref="A3:B3"/>
    <mergeCell ref="D3:F3"/>
    <mergeCell ref="I3:K3"/>
    <mergeCell ref="I4:K4"/>
    <mergeCell ref="I5:K5"/>
    <mergeCell ref="R2:S2"/>
    <mergeCell ref="A6:B6"/>
    <mergeCell ref="D6:F6"/>
    <mergeCell ref="I6:K6"/>
    <mergeCell ref="H22:K22"/>
    <mergeCell ref="I8:K8"/>
    <mergeCell ref="A9:B9"/>
    <mergeCell ref="D9:F9"/>
    <mergeCell ref="I9:K9"/>
    <mergeCell ref="I10:K10"/>
    <mergeCell ref="H11:K11"/>
    <mergeCell ref="A12:B12"/>
    <mergeCell ref="D12:F12"/>
    <mergeCell ref="I12:K12"/>
    <mergeCell ref="D14:F14"/>
    <mergeCell ref="A21:K21"/>
    <mergeCell ref="I30:K30"/>
    <mergeCell ref="A23:B23"/>
    <mergeCell ref="D23:F23"/>
    <mergeCell ref="I23:K23"/>
    <mergeCell ref="I24:K24"/>
    <mergeCell ref="I25:K25"/>
    <mergeCell ref="A26:B26"/>
    <mergeCell ref="D26:F26"/>
    <mergeCell ref="I26:K26"/>
    <mergeCell ref="I27:K27"/>
    <mergeCell ref="I28:K28"/>
    <mergeCell ref="A29:B29"/>
    <mergeCell ref="D29:F29"/>
    <mergeCell ref="I29:K29"/>
    <mergeCell ref="A32:B32"/>
    <mergeCell ref="D32:F32"/>
    <mergeCell ref="H32:K32"/>
    <mergeCell ref="I33:K33"/>
    <mergeCell ref="D34:F34"/>
    <mergeCell ref="M51:N51"/>
    <mergeCell ref="M62:N62"/>
    <mergeCell ref="M80:N80"/>
    <mergeCell ref="D36:D38"/>
    <mergeCell ref="I31:K31"/>
  </mergeCells>
  <dataValidations count="7">
    <dataValidation type="list" allowBlank="1" showInputMessage="1" showErrorMessage="1" sqref="I27:K27 N53">
      <formula1>$I$34:$K$34</formula1>
    </dataValidation>
    <dataValidation type="list" allowBlank="1" showInputMessage="1" showErrorMessage="1" sqref="I7:K7">
      <formula1>$I$13:$K$13</formula1>
    </dataValidation>
    <dataValidation type="list" allowBlank="1" showInputMessage="1" showErrorMessage="1" sqref="I6 I26">
      <formula1>$H$14:$H$19</formula1>
    </dataValidation>
    <dataValidation type="list" allowBlank="1" showInputMessage="1" showErrorMessage="1" sqref="I9:K9 I30:K30 N52">
      <formula1>$R$3:$R$5</formula1>
    </dataValidation>
    <dataValidation type="list" allowBlank="1" showInputMessage="1" showErrorMessage="1" sqref="I31:K31">
      <formula1>$S$3:$S$5</formula1>
    </dataValidation>
    <dataValidation type="list" allowBlank="1" showInputMessage="1" showErrorMessage="1" sqref="N55">
      <formula1>$H$35:$H$40</formula1>
    </dataValidation>
    <dataValidation type="list" allowBlank="1" showInputMessage="1" showErrorMessage="1" sqref="N54">
      <formula1>$R$16:$R$23</formula1>
    </dataValidation>
  </dataValidations>
  <pageMargins left="0.7" right="0.7" top="0.75" bottom="0.75" header="0.3" footer="0.3"/>
  <pageSetup scale="5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2297" r:id="rId4" name="Button 9">
              <controlPr defaultSize="0" print="0" autoFill="0" autoPict="0" macro="[0]!GetPumpSchedule">
                <anchor moveWithCells="1" sizeWithCells="1">
                  <from>
                    <xdr:col>12</xdr:col>
                    <xdr:colOff>121920</xdr:colOff>
                    <xdr:row>41</xdr:row>
                    <xdr:rowOff>99060</xdr:rowOff>
                  </from>
                  <to>
                    <xdr:col>12</xdr:col>
                    <xdr:colOff>1722120</xdr:colOff>
                    <xdr:row>43</xdr:row>
                    <xdr:rowOff>106680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T63"/>
  <sheetViews>
    <sheetView workbookViewId="0">
      <selection activeCell="A69" sqref="A1:V69"/>
    </sheetView>
  </sheetViews>
  <sheetFormatPr defaultRowHeight="14.4"/>
  <cols>
    <col min="1" max="1" width="26" bestFit="1" customWidth="1"/>
    <col min="2" max="2" width="15.6640625" customWidth="1"/>
    <col min="4" max="4" width="10.109375" bestFit="1" customWidth="1"/>
    <col min="5" max="5" width="15.6640625" bestFit="1" customWidth="1"/>
    <col min="6" max="6" width="15.44140625" bestFit="1" customWidth="1"/>
    <col min="7" max="7" width="12.44140625" bestFit="1" customWidth="1"/>
    <col min="10" max="10" width="16.6640625" customWidth="1"/>
    <col min="13" max="13" width="20.5546875" bestFit="1" customWidth="1"/>
    <col min="14" max="14" width="16.44140625" bestFit="1" customWidth="1"/>
  </cols>
  <sheetData>
    <row r="1" spans="1:20">
      <c r="A1" s="721" t="s">
        <v>14</v>
      </c>
      <c r="B1" s="723"/>
      <c r="D1" s="74" t="s">
        <v>209</v>
      </c>
      <c r="E1" s="74" t="s">
        <v>210</v>
      </c>
      <c r="F1" s="74" t="s">
        <v>211</v>
      </c>
      <c r="G1" s="74" t="s">
        <v>232</v>
      </c>
      <c r="I1" s="10" t="s">
        <v>38</v>
      </c>
      <c r="J1" s="10" t="s">
        <v>40</v>
      </c>
      <c r="K1" s="9"/>
      <c r="L1" s="9"/>
      <c r="M1" s="6" t="s">
        <v>119</v>
      </c>
      <c r="N1" s="6" t="s">
        <v>120</v>
      </c>
      <c r="O1" s="6" t="s">
        <v>121</v>
      </c>
      <c r="R1" s="836" t="s">
        <v>326</v>
      </c>
      <c r="S1" s="836"/>
      <c r="T1" s="836"/>
    </row>
    <row r="2" spans="1:20">
      <c r="A2" s="5" t="s">
        <v>8</v>
      </c>
      <c r="B2" s="2" t="e">
        <f>WBD!#REF!</f>
        <v>#REF!</v>
      </c>
      <c r="D2" s="204" t="s">
        <v>396</v>
      </c>
      <c r="E2" s="204" t="s">
        <v>397</v>
      </c>
      <c r="F2" s="204" t="s">
        <v>398</v>
      </c>
      <c r="G2" s="204" t="s">
        <v>399</v>
      </c>
      <c r="I2" s="20" t="s">
        <v>122</v>
      </c>
      <c r="J2" s="3" t="s">
        <v>39</v>
      </c>
      <c r="K2" s="9"/>
      <c r="L2" s="9"/>
      <c r="M2" s="21" t="s">
        <v>330</v>
      </c>
      <c r="N2" s="22" t="s">
        <v>124</v>
      </c>
      <c r="O2" s="20" t="s">
        <v>122</v>
      </c>
      <c r="R2" s="126" t="s">
        <v>140</v>
      </c>
      <c r="S2" s="126" t="s">
        <v>177</v>
      </c>
      <c r="T2" s="126" t="s">
        <v>240</v>
      </c>
    </row>
    <row r="3" spans="1:20">
      <c r="A3" s="5" t="s">
        <v>10</v>
      </c>
      <c r="B3" s="2" t="e">
        <f>WBD!#REF!</f>
        <v>#REF!</v>
      </c>
      <c r="D3" s="75" t="s">
        <v>360</v>
      </c>
      <c r="E3" s="75" t="s">
        <v>361</v>
      </c>
      <c r="F3" s="75" t="s">
        <v>362</v>
      </c>
      <c r="G3" s="75" t="s">
        <v>363</v>
      </c>
      <c r="I3" s="20" t="s">
        <v>125</v>
      </c>
      <c r="J3" s="3" t="s">
        <v>39</v>
      </c>
      <c r="K3" s="9"/>
      <c r="L3" s="9"/>
      <c r="M3" s="21" t="s">
        <v>129</v>
      </c>
      <c r="N3" s="22" t="s">
        <v>331</v>
      </c>
      <c r="O3" s="20" t="s">
        <v>125</v>
      </c>
      <c r="R3" s="125" t="s">
        <v>137</v>
      </c>
      <c r="S3" s="175">
        <v>8.625</v>
      </c>
      <c r="T3" s="175">
        <v>24</v>
      </c>
    </row>
    <row r="4" spans="1:20">
      <c r="A4" s="5" t="s">
        <v>9</v>
      </c>
      <c r="B4" s="4">
        <f ca="1">TODAY()</f>
        <v>43805</v>
      </c>
      <c r="D4" s="75" t="s">
        <v>214</v>
      </c>
      <c r="E4" s="75" t="s">
        <v>219</v>
      </c>
      <c r="F4" s="75" t="s">
        <v>225</v>
      </c>
      <c r="G4" s="75" t="s">
        <v>231</v>
      </c>
      <c r="I4" s="20" t="s">
        <v>127</v>
      </c>
      <c r="J4" s="3" t="s">
        <v>98</v>
      </c>
      <c r="K4" s="9"/>
      <c r="L4" s="9"/>
      <c r="M4" s="21" t="s">
        <v>325</v>
      </c>
      <c r="N4" s="22" t="s">
        <v>327</v>
      </c>
      <c r="O4" s="20" t="s">
        <v>127</v>
      </c>
      <c r="R4" s="125" t="s">
        <v>138</v>
      </c>
      <c r="S4" s="175">
        <v>4.5</v>
      </c>
      <c r="T4" s="175">
        <v>11.6</v>
      </c>
    </row>
    <row r="5" spans="1:20">
      <c r="A5" s="721" t="s">
        <v>15</v>
      </c>
      <c r="B5" s="723"/>
      <c r="D5" s="187" t="s">
        <v>350</v>
      </c>
      <c r="E5" s="187" t="s">
        <v>351</v>
      </c>
      <c r="F5" s="187" t="s">
        <v>352</v>
      </c>
      <c r="G5" s="187" t="s">
        <v>353</v>
      </c>
      <c r="I5" s="23" t="s">
        <v>130</v>
      </c>
      <c r="J5" s="3" t="s">
        <v>99</v>
      </c>
      <c r="K5" s="9"/>
      <c r="L5" s="9"/>
      <c r="M5" s="21" t="s">
        <v>123</v>
      </c>
      <c r="N5" s="22" t="s">
        <v>7</v>
      </c>
      <c r="O5" s="23" t="s">
        <v>130</v>
      </c>
      <c r="R5" s="125" t="s">
        <v>139</v>
      </c>
      <c r="S5" s="175">
        <v>7.88</v>
      </c>
      <c r="T5" s="176"/>
    </row>
    <row r="6" spans="1:20">
      <c r="A6" s="5" t="s">
        <v>11</v>
      </c>
      <c r="B6" s="2" t="e">
        <f>WBD!#REF!</f>
        <v>#REF!</v>
      </c>
      <c r="D6" s="187" t="s">
        <v>356</v>
      </c>
      <c r="E6" s="187" t="s">
        <v>357</v>
      </c>
      <c r="F6" s="187" t="s">
        <v>358</v>
      </c>
      <c r="G6" s="187" t="s">
        <v>359</v>
      </c>
      <c r="I6" s="9"/>
      <c r="J6" s="9"/>
      <c r="K6" s="9"/>
      <c r="L6" s="9"/>
      <c r="M6" s="21" t="s">
        <v>126</v>
      </c>
      <c r="N6" s="22" t="s">
        <v>238</v>
      </c>
      <c r="O6" s="9"/>
    </row>
    <row r="7" spans="1:20">
      <c r="A7" s="5" t="s">
        <v>12</v>
      </c>
      <c r="B7" s="12" t="e">
        <f>WBD!#REF!</f>
        <v>#REF!</v>
      </c>
      <c r="D7" s="75" t="s">
        <v>215</v>
      </c>
      <c r="E7" s="75" t="s">
        <v>220</v>
      </c>
      <c r="F7" s="75" t="s">
        <v>226</v>
      </c>
      <c r="G7" s="75" t="s">
        <v>233</v>
      </c>
      <c r="I7" s="9"/>
      <c r="J7" s="9"/>
      <c r="K7" s="9"/>
      <c r="L7" s="9"/>
      <c r="M7" s="21" t="s">
        <v>128</v>
      </c>
      <c r="N7" s="22" t="s">
        <v>129</v>
      </c>
      <c r="O7" s="9"/>
    </row>
    <row r="8" spans="1:20">
      <c r="A8" s="5" t="s">
        <v>13</v>
      </c>
      <c r="B8" s="12" t="e">
        <f>WBD!#REF!</f>
        <v>#REF!</v>
      </c>
      <c r="D8" s="75" t="s">
        <v>212</v>
      </c>
      <c r="E8" s="75" t="s">
        <v>221</v>
      </c>
      <c r="F8" s="75" t="s">
        <v>227</v>
      </c>
      <c r="G8" s="75" t="s">
        <v>234</v>
      </c>
      <c r="I8" s="9"/>
      <c r="J8" s="9"/>
      <c r="K8" s="9"/>
      <c r="L8" s="9"/>
      <c r="M8" s="21" t="s">
        <v>239</v>
      </c>
      <c r="N8" s="22" t="s">
        <v>325</v>
      </c>
      <c r="O8" s="9"/>
    </row>
    <row r="9" spans="1:20" s="9" customFormat="1">
      <c r="A9" s="5" t="s">
        <v>97</v>
      </c>
      <c r="B9" s="12" t="e">
        <f>WBD!#REF!</f>
        <v>#REF!</v>
      </c>
      <c r="D9" s="75" t="s">
        <v>213</v>
      </c>
      <c r="E9" s="75" t="s">
        <v>25</v>
      </c>
      <c r="F9" s="75" t="s">
        <v>58</v>
      </c>
      <c r="G9" s="75" t="s">
        <v>26</v>
      </c>
      <c r="M9" s="21" t="s">
        <v>131</v>
      </c>
    </row>
    <row r="10" spans="1:20">
      <c r="A10" s="1" t="s">
        <v>0</v>
      </c>
      <c r="B10" s="12" t="e">
        <f>WBD!#REF!</f>
        <v>#REF!</v>
      </c>
      <c r="D10" s="187" t="s">
        <v>345</v>
      </c>
      <c r="E10" s="187" t="s">
        <v>346</v>
      </c>
      <c r="F10" s="187" t="s">
        <v>347</v>
      </c>
      <c r="G10" s="187" t="s">
        <v>344</v>
      </c>
      <c r="I10" s="9"/>
      <c r="J10" s="9"/>
      <c r="K10" s="9"/>
      <c r="L10" s="9"/>
      <c r="M10" s="21" t="s">
        <v>132</v>
      </c>
      <c r="N10" s="9"/>
      <c r="O10" s="9"/>
    </row>
    <row r="11" spans="1:20">
      <c r="A11" s="1" t="s">
        <v>1</v>
      </c>
      <c r="B11" s="12" t="e">
        <f>WBD!#REF!</f>
        <v>#REF!</v>
      </c>
      <c r="D11" s="75" t="s">
        <v>364</v>
      </c>
      <c r="E11" s="75" t="s">
        <v>365</v>
      </c>
      <c r="F11" s="75" t="s">
        <v>366</v>
      </c>
      <c r="G11" s="75" t="s">
        <v>367</v>
      </c>
      <c r="H11" s="9"/>
      <c r="M11" s="21" t="s">
        <v>133</v>
      </c>
    </row>
    <row r="12" spans="1:20">
      <c r="A12" s="3" t="s">
        <v>2</v>
      </c>
      <c r="B12" s="12" t="e">
        <f>WBD!#REF!</f>
        <v>#REF!</v>
      </c>
      <c r="D12" s="75" t="s">
        <v>400</v>
      </c>
      <c r="E12" s="75" t="s">
        <v>401</v>
      </c>
      <c r="F12" s="75" t="s">
        <v>402</v>
      </c>
      <c r="G12" s="75" t="s">
        <v>403</v>
      </c>
      <c r="H12" s="9"/>
      <c r="M12" s="21" t="s">
        <v>134</v>
      </c>
    </row>
    <row r="13" spans="1:20">
      <c r="A13" s="1" t="s">
        <v>32</v>
      </c>
      <c r="B13" s="12" t="e">
        <f>WBD!#REF!</f>
        <v>#REF!</v>
      </c>
      <c r="D13" s="75" t="s">
        <v>216</v>
      </c>
      <c r="E13" s="75" t="s">
        <v>222</v>
      </c>
      <c r="F13" s="75" t="s">
        <v>228</v>
      </c>
      <c r="G13" s="75" t="s">
        <v>235</v>
      </c>
      <c r="M13" s="21" t="s">
        <v>135</v>
      </c>
    </row>
    <row r="14" spans="1:20">
      <c r="A14" s="1" t="s">
        <v>28</v>
      </c>
      <c r="B14" s="12" t="e">
        <f>WBD!#REF!</f>
        <v>#REF!</v>
      </c>
      <c r="D14" s="458" t="s">
        <v>668</v>
      </c>
      <c r="E14" s="458" t="s">
        <v>669</v>
      </c>
      <c r="F14" s="458" t="s">
        <v>670</v>
      </c>
      <c r="G14" s="458" t="s">
        <v>671</v>
      </c>
      <c r="M14" s="21" t="s">
        <v>328</v>
      </c>
    </row>
    <row r="15" spans="1:20">
      <c r="A15" s="1" t="s">
        <v>3</v>
      </c>
      <c r="B15" s="12" t="e">
        <f>WBD!#REF!</f>
        <v>#REF!</v>
      </c>
      <c r="D15" s="75" t="s">
        <v>217</v>
      </c>
      <c r="E15" s="75" t="s">
        <v>223</v>
      </c>
      <c r="F15" s="75" t="s">
        <v>229</v>
      </c>
      <c r="G15" s="75" t="s">
        <v>236</v>
      </c>
      <c r="M15" s="21" t="s">
        <v>329</v>
      </c>
    </row>
    <row r="16" spans="1:20">
      <c r="A16" s="1" t="s">
        <v>33</v>
      </c>
      <c r="B16" s="12" t="e">
        <f>WBD!#REF!</f>
        <v>#REF!</v>
      </c>
      <c r="D16" s="187" t="s">
        <v>337</v>
      </c>
      <c r="E16" s="187" t="s">
        <v>338</v>
      </c>
      <c r="F16" s="187" t="s">
        <v>339</v>
      </c>
      <c r="G16" s="187" t="s">
        <v>340</v>
      </c>
      <c r="M16" s="21" t="s">
        <v>136</v>
      </c>
    </row>
    <row r="17" spans="1:13">
      <c r="A17" s="1" t="s">
        <v>34</v>
      </c>
      <c r="B17" s="12" t="e">
        <f>WBD!#REF!</f>
        <v>#REF!</v>
      </c>
      <c r="D17" s="187" t="s">
        <v>341</v>
      </c>
      <c r="E17" s="187" t="s">
        <v>342</v>
      </c>
      <c r="F17" s="187" t="s">
        <v>343</v>
      </c>
      <c r="G17" s="187" t="s">
        <v>348</v>
      </c>
      <c r="M17" s="21" t="s">
        <v>512</v>
      </c>
    </row>
    <row r="18" spans="1:13" s="9" customFormat="1">
      <c r="A18" s="11" t="s">
        <v>112</v>
      </c>
      <c r="B18" s="12" t="e">
        <f>WBD!#REF!</f>
        <v>#REF!</v>
      </c>
      <c r="D18" s="75" t="s">
        <v>218</v>
      </c>
      <c r="E18" s="75" t="s">
        <v>224</v>
      </c>
      <c r="F18" s="75" t="s">
        <v>230</v>
      </c>
      <c r="G18" s="75" t="s">
        <v>237</v>
      </c>
    </row>
    <row r="19" spans="1:13" s="9" customFormat="1">
      <c r="A19" s="11" t="s">
        <v>113</v>
      </c>
      <c r="B19" s="12" t="e">
        <f>WBD!#REF!</f>
        <v>#REF!</v>
      </c>
      <c r="D19" s="187" t="s">
        <v>333</v>
      </c>
      <c r="E19" s="187" t="s">
        <v>334</v>
      </c>
      <c r="F19" s="187" t="s">
        <v>335</v>
      </c>
      <c r="G19" s="187" t="s">
        <v>336</v>
      </c>
    </row>
    <row r="20" spans="1:13">
      <c r="A20" s="1" t="s">
        <v>111</v>
      </c>
      <c r="B20" s="12" t="e">
        <f>WBD!#REF!</f>
        <v>#REF!</v>
      </c>
      <c r="H20" s="190"/>
      <c r="I20" s="190"/>
      <c r="J20" s="837"/>
      <c r="K20" s="837"/>
    </row>
    <row r="21" spans="1:13">
      <c r="A21" s="11" t="s">
        <v>114</v>
      </c>
      <c r="B21" s="12" t="e">
        <f>WBD!#REF!</f>
        <v>#REF!</v>
      </c>
      <c r="D21" s="9"/>
      <c r="E21" s="9"/>
      <c r="F21" s="9"/>
      <c r="G21" s="9"/>
      <c r="H21" s="190"/>
      <c r="I21" s="190"/>
      <c r="J21" s="39"/>
      <c r="K21" s="39"/>
    </row>
    <row r="22" spans="1:13">
      <c r="A22" s="11" t="s">
        <v>115</v>
      </c>
      <c r="B22" s="12" t="e">
        <f>WBD!#REF!</f>
        <v>#REF!</v>
      </c>
      <c r="D22" s="9"/>
      <c r="E22" s="189"/>
      <c r="F22" s="9"/>
      <c r="G22" s="9"/>
      <c r="H22" s="190"/>
      <c r="I22" s="190"/>
      <c r="J22" s="39"/>
      <c r="K22" s="39"/>
    </row>
    <row r="23" spans="1:13">
      <c r="A23" s="11" t="s">
        <v>106</v>
      </c>
      <c r="B23" s="12" t="e">
        <f>WBD!#REF!</f>
        <v>#REF!</v>
      </c>
      <c r="E23" s="837"/>
      <c r="F23" s="837"/>
      <c r="G23" s="190"/>
      <c r="H23" s="190"/>
      <c r="I23" s="190"/>
      <c r="J23" s="39"/>
      <c r="K23" s="39"/>
    </row>
    <row r="24" spans="1:13">
      <c r="A24" s="11" t="s">
        <v>4</v>
      </c>
      <c r="B24" s="12" t="e">
        <f>WBD!#REF!</f>
        <v>#REF!</v>
      </c>
      <c r="E24" s="39"/>
      <c r="F24" s="39"/>
      <c r="G24" s="190"/>
      <c r="H24" s="190"/>
      <c r="I24" s="190"/>
      <c r="J24" s="39"/>
      <c r="K24" s="39"/>
    </row>
    <row r="25" spans="1:13">
      <c r="A25" s="11" t="s">
        <v>29</v>
      </c>
      <c r="B25" s="12" t="e">
        <f>WBD!#REF!</f>
        <v>#REF!</v>
      </c>
      <c r="E25" s="39"/>
      <c r="F25" s="39"/>
      <c r="G25" s="190"/>
      <c r="H25" s="190"/>
      <c r="I25" s="190"/>
      <c r="J25" s="39"/>
      <c r="K25" s="39"/>
    </row>
    <row r="26" spans="1:13">
      <c r="A26" s="11" t="s">
        <v>5</v>
      </c>
      <c r="B26" s="12" t="e">
        <f>WBD!#REF!</f>
        <v>#REF!</v>
      </c>
      <c r="C26" s="9"/>
      <c r="E26" s="39"/>
      <c r="F26" s="39"/>
      <c r="G26" s="190"/>
      <c r="H26" s="190"/>
      <c r="I26" s="190"/>
      <c r="J26" s="190"/>
      <c r="K26" s="190"/>
    </row>
    <row r="27" spans="1:13">
      <c r="A27" s="11" t="s">
        <v>6</v>
      </c>
      <c r="B27" s="12"/>
      <c r="C27" s="9"/>
      <c r="E27" s="39"/>
      <c r="F27" s="39"/>
      <c r="G27" s="190"/>
      <c r="H27" s="190"/>
      <c r="I27" s="190"/>
      <c r="J27" s="190"/>
      <c r="K27" s="190"/>
    </row>
    <row r="28" spans="1:13">
      <c r="A28" s="11" t="s">
        <v>30</v>
      </c>
      <c r="B28" s="12"/>
      <c r="E28" s="39"/>
      <c r="F28" s="39"/>
      <c r="G28" s="190"/>
      <c r="H28" s="190"/>
      <c r="I28" s="190"/>
      <c r="J28" s="190"/>
      <c r="K28" s="190"/>
    </row>
    <row r="29" spans="1:13" s="9" customFormat="1">
      <c r="A29" s="11" t="s">
        <v>116</v>
      </c>
      <c r="B29" s="12" t="e">
        <f>WBD!#REF!</f>
        <v>#REF!</v>
      </c>
      <c r="D29"/>
      <c r="E29" s="39"/>
      <c r="F29" s="39"/>
      <c r="G29" s="190"/>
      <c r="H29" s="190"/>
      <c r="I29" s="190"/>
      <c r="J29" s="190"/>
      <c r="K29" s="190"/>
    </row>
    <row r="30" spans="1:13">
      <c r="A30" s="11" t="s">
        <v>85</v>
      </c>
      <c r="B30" s="12" t="e">
        <f>WBD!#REF!</f>
        <v>#REF!</v>
      </c>
      <c r="E30" s="39"/>
      <c r="F30" s="39"/>
      <c r="G30" s="190"/>
      <c r="H30" s="190"/>
      <c r="I30" s="190"/>
      <c r="J30" s="190"/>
      <c r="K30" s="190"/>
    </row>
    <row r="31" spans="1:13">
      <c r="A31" s="11" t="s">
        <v>84</v>
      </c>
      <c r="B31" s="12" t="e">
        <f>WBD!#REF!</f>
        <v>#REF!</v>
      </c>
      <c r="E31" s="39"/>
      <c r="F31" s="39"/>
      <c r="G31" s="190"/>
      <c r="H31" s="190"/>
      <c r="I31" s="190"/>
      <c r="J31" s="190"/>
      <c r="K31" s="190"/>
    </row>
    <row r="32" spans="1:13">
      <c r="A32" s="11" t="s">
        <v>86</v>
      </c>
      <c r="B32" s="12" t="e">
        <f>WBD!#REF!</f>
        <v>#REF!</v>
      </c>
      <c r="D32" s="9"/>
      <c r="E32" s="39"/>
      <c r="F32" s="39"/>
      <c r="G32" s="190"/>
      <c r="H32" s="190"/>
      <c r="I32" s="190"/>
      <c r="J32" s="190"/>
      <c r="K32" s="190"/>
    </row>
    <row r="33" spans="1:11">
      <c r="A33" s="11" t="s">
        <v>87</v>
      </c>
      <c r="B33" s="12" t="e">
        <f>WBD!#REF!</f>
        <v>#REF!</v>
      </c>
      <c r="C33" s="9"/>
      <c r="E33" s="39"/>
      <c r="F33" s="39"/>
      <c r="G33" s="190"/>
      <c r="H33" s="190"/>
      <c r="I33" s="190"/>
      <c r="J33" s="190"/>
      <c r="K33" s="190"/>
    </row>
    <row r="34" spans="1:11">
      <c r="A34" s="11" t="s">
        <v>31</v>
      </c>
      <c r="B34" s="12" t="e">
        <f>WBD!#REF!</f>
        <v>#REF!</v>
      </c>
      <c r="E34" s="39"/>
      <c r="F34" s="39"/>
      <c r="G34" s="190"/>
      <c r="H34" s="190"/>
      <c r="I34" s="190"/>
      <c r="J34" s="190"/>
      <c r="K34" s="190"/>
    </row>
    <row r="35" spans="1:11">
      <c r="A35" s="15" t="s">
        <v>41</v>
      </c>
      <c r="B35" s="16"/>
      <c r="E35" s="39"/>
      <c r="F35" s="39"/>
      <c r="G35" s="190"/>
    </row>
    <row r="36" spans="1:11">
      <c r="A36" s="11" t="s">
        <v>16</v>
      </c>
      <c r="B36" s="12" t="e">
        <f>WBD!#REF!</f>
        <v>#REF!</v>
      </c>
      <c r="E36" s="39"/>
      <c r="F36" s="39"/>
      <c r="G36" s="190"/>
    </row>
    <row r="37" spans="1:11">
      <c r="A37" s="11" t="s">
        <v>17</v>
      </c>
      <c r="B37" s="12" t="e">
        <f>WBD!#REF!</f>
        <v>#REF!</v>
      </c>
      <c r="E37" s="39"/>
      <c r="F37" s="39"/>
      <c r="G37" s="190"/>
    </row>
    <row r="38" spans="1:11">
      <c r="A38" s="11" t="s">
        <v>18</v>
      </c>
      <c r="B38" s="12" t="e">
        <f>WBD!#REF!</f>
        <v>#REF!</v>
      </c>
    </row>
    <row r="39" spans="1:11" s="9" customFormat="1">
      <c r="A39" s="11" t="s">
        <v>19</v>
      </c>
      <c r="B39" s="12" t="e">
        <f>WBD!#REF!</f>
        <v>#REF!</v>
      </c>
      <c r="D39"/>
      <c r="E39"/>
      <c r="F39"/>
      <c r="G39"/>
    </row>
    <row r="40" spans="1:11" s="9" customFormat="1" ht="15" customHeight="1">
      <c r="A40" s="11" t="s">
        <v>20</v>
      </c>
      <c r="B40" s="12" t="e">
        <f>WBD!#REF!</f>
        <v>#REF!</v>
      </c>
      <c r="D40"/>
      <c r="E40"/>
      <c r="F40"/>
      <c r="G40"/>
    </row>
    <row r="41" spans="1:11">
      <c r="A41" s="17" t="s">
        <v>21</v>
      </c>
      <c r="B41" s="18"/>
    </row>
    <row r="42" spans="1:11">
      <c r="A42" s="14" t="s">
        <v>107</v>
      </c>
      <c r="B42" s="12" t="e">
        <f>WBD!#REF!</f>
        <v>#REF!</v>
      </c>
      <c r="D42" s="9"/>
      <c r="E42" s="9"/>
      <c r="F42" s="9"/>
      <c r="G42" s="9"/>
    </row>
    <row r="43" spans="1:11" s="9" customFormat="1" ht="15" customHeight="1">
      <c r="A43" s="14" t="s">
        <v>110</v>
      </c>
      <c r="B43" s="12" t="e">
        <f>WBD!#REF!</f>
        <v>#REF!</v>
      </c>
    </row>
    <row r="44" spans="1:11" s="9" customFormat="1">
      <c r="A44" s="11" t="s">
        <v>22</v>
      </c>
      <c r="B44" s="12" t="e">
        <f>WBD!#REF!</f>
        <v>#REF!</v>
      </c>
      <c r="D44"/>
      <c r="E44"/>
      <c r="F44"/>
      <c r="G44"/>
    </row>
    <row r="45" spans="1:11">
      <c r="A45" s="11" t="s">
        <v>23</v>
      </c>
      <c r="B45" s="12" t="e">
        <f>WBD!#REF!</f>
        <v>#REF!</v>
      </c>
    </row>
    <row r="46" spans="1:11">
      <c r="A46" s="11" t="s">
        <v>108</v>
      </c>
      <c r="B46" s="12" t="e">
        <f>WBD!#REF!</f>
        <v>#REF!</v>
      </c>
      <c r="D46" s="9"/>
      <c r="E46" s="9"/>
      <c r="F46" s="9"/>
      <c r="G46" s="9"/>
    </row>
    <row r="47" spans="1:11">
      <c r="A47" s="11" t="s">
        <v>83</v>
      </c>
      <c r="B47" s="12" t="e">
        <f>WBD!#REF!</f>
        <v>#REF!</v>
      </c>
      <c r="D47" s="9"/>
      <c r="E47" s="9"/>
      <c r="F47" s="9"/>
      <c r="G47" s="9"/>
    </row>
    <row r="48" spans="1:11">
      <c r="A48" s="11" t="s">
        <v>24</v>
      </c>
      <c r="B48" s="12" t="e">
        <f>WBD!#REF!</f>
        <v>#REF!</v>
      </c>
    </row>
    <row r="49" spans="1:2">
      <c r="A49" s="11" t="s">
        <v>100</v>
      </c>
      <c r="B49" s="12" t="e">
        <f>WBD!#REF!</f>
        <v>#REF!</v>
      </c>
    </row>
    <row r="50" spans="1:2">
      <c r="A50" s="11" t="s">
        <v>101</v>
      </c>
      <c r="B50" s="12" t="e">
        <f>WBD!#REF!</f>
        <v>#REF!</v>
      </c>
    </row>
    <row r="51" spans="1:2">
      <c r="A51" s="11" t="s">
        <v>102</v>
      </c>
      <c r="B51" s="12" t="e">
        <f>WBD!#REF!</f>
        <v>#REF!</v>
      </c>
    </row>
    <row r="53" spans="1:2">
      <c r="A53" s="3" t="s">
        <v>522</v>
      </c>
      <c r="B53" s="12" t="e">
        <f>IF(FHM__ft&lt;&gt;"BP",ROUNDUP((FHM__ft+100)/5,0)*5,ROUNDUP((Surface_Casing_Shoe__ft+100)/5,0)*5)</f>
        <v>#REF!</v>
      </c>
    </row>
    <row r="54" spans="1:2">
      <c r="A54" s="3" t="s">
        <v>423</v>
      </c>
      <c r="B54" s="216" t="e">
        <f>MAX(J_Sand_CIBP__ft,Niobrara_CIBP___BOC__ft,SUSX_CIBP,Fmtn_CIBP__ft,1)</f>
        <v>#REF!</v>
      </c>
    </row>
    <row r="55" spans="1:2">
      <c r="A55" s="3" t="s">
        <v>349</v>
      </c>
      <c r="B55" s="12" t="e">
        <f>IF(Prod._Csg._Size&lt;=3.5,1,IF(Prod._Csg._Size&gt;=7,4,2))</f>
        <v>#REF!</v>
      </c>
    </row>
    <row r="56" spans="1:2">
      <c r="A56" s="3" t="s">
        <v>600</v>
      </c>
      <c r="B56" s="12">
        <v>773</v>
      </c>
    </row>
    <row r="57" spans="1:2">
      <c r="A57" s="3" t="s">
        <v>601</v>
      </c>
      <c r="B57" s="12">
        <v>397</v>
      </c>
    </row>
    <row r="58" spans="1:2">
      <c r="A58" s="3" t="s">
        <v>602</v>
      </c>
      <c r="B58" s="12">
        <v>866</v>
      </c>
    </row>
    <row r="59" spans="1:2">
      <c r="A59" s="3" t="s">
        <v>603</v>
      </c>
      <c r="B59" s="12">
        <v>711</v>
      </c>
    </row>
    <row r="60" spans="1:2">
      <c r="A60" s="3" t="s">
        <v>604</v>
      </c>
      <c r="B60" s="12">
        <v>2100</v>
      </c>
    </row>
    <row r="61" spans="1:2">
      <c r="A61" s="3" t="s">
        <v>605</v>
      </c>
      <c r="B61" s="12">
        <v>559</v>
      </c>
    </row>
    <row r="62" spans="1:2">
      <c r="A62" s="3" t="s">
        <v>607</v>
      </c>
      <c r="B62" s="12">
        <v>1105</v>
      </c>
    </row>
    <row r="63" spans="1:2">
      <c r="A63" s="3" t="s">
        <v>606</v>
      </c>
      <c r="B63" s="453">
        <v>967</v>
      </c>
    </row>
  </sheetData>
  <mergeCells count="5">
    <mergeCell ref="A1:B1"/>
    <mergeCell ref="A5:B5"/>
    <mergeCell ref="R1:T1"/>
    <mergeCell ref="E23:F23"/>
    <mergeCell ref="J20:K20"/>
  </mergeCells>
  <conditionalFormatting sqref="X13">
    <cfRule type="expression" priority="1">
      <formula>"if($X$13&lt;&gt;INPUTS!$T$3)"</formula>
    </cfRule>
  </conditionalFormatting>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58</vt:i4>
      </vt:variant>
    </vt:vector>
  </HeadingPairs>
  <TitlesOfParts>
    <vt:vector size="67" baseType="lpstr">
      <vt:lpstr>WBD</vt:lpstr>
      <vt:lpstr>PROCEDURE</vt:lpstr>
      <vt:lpstr>FORM 6</vt:lpstr>
      <vt:lpstr>COVER</vt:lpstr>
      <vt:lpstr>PROG ADD INS</vt:lpstr>
      <vt:lpstr>Flare Distance Criteria</vt:lpstr>
      <vt:lpstr>CMT CALC</vt:lpstr>
      <vt:lpstr>Max Treating Pressures</vt:lpstr>
      <vt:lpstr>INPUTS</vt:lpstr>
      <vt:lpstr>Bailer_Vol</vt:lpstr>
      <vt:lpstr>BH_Circ_Max_P__psi</vt:lpstr>
      <vt:lpstr>BH_Cmt_Above_CICR__sx</vt:lpstr>
      <vt:lpstr>BH_Sq_Max_P__psi</vt:lpstr>
      <vt:lpstr>BH_Sq_ppg</vt:lpstr>
      <vt:lpstr>BH_Sq_yld</vt:lpstr>
      <vt:lpstr>BH_Squeezed__sx</vt:lpstr>
      <vt:lpstr>Bottom_of_Cement_Column__ft</vt:lpstr>
      <vt:lpstr>Cmt_Vol_Left_in_Tbg__bbls</vt:lpstr>
      <vt:lpstr>Cmt_Vol_Left_in_Tbg__sx</vt:lpstr>
      <vt:lpstr>Cmt_Vol_Squeezed__sx</vt:lpstr>
      <vt:lpstr>County</vt:lpstr>
      <vt:lpstr>Deepest_CIBP__ft</vt:lpstr>
      <vt:lpstr>Hesitation_Circ_Max_P__psi</vt:lpstr>
      <vt:lpstr>Hesitation_Cmt_Above_CICR__sx</vt:lpstr>
      <vt:lpstr>Hesitation_Sq_Max_P__psi</vt:lpstr>
      <vt:lpstr>Hesitation_Sq_ppg</vt:lpstr>
      <vt:lpstr>Hesitation_Sq_yld</vt:lpstr>
      <vt:lpstr>Hesitation_Squeezed__sx</vt:lpstr>
      <vt:lpstr>Ideal_Cut_Casing_Depth__ft</vt:lpstr>
      <vt:lpstr>LATITUDE</vt:lpstr>
      <vt:lpstr>LONGITUDE</vt:lpstr>
      <vt:lpstr>Max_Circ_P__psi</vt:lpstr>
      <vt:lpstr>Max_Pump_P__psi</vt:lpstr>
      <vt:lpstr>Max_Sq_P__psi</vt:lpstr>
      <vt:lpstr>Name</vt:lpstr>
      <vt:lpstr>NB_Circ_Max_P__psi</vt:lpstr>
      <vt:lpstr>NB_Cmt_Above_CICR__sx</vt:lpstr>
      <vt:lpstr>NB_Plug_ppg</vt:lpstr>
      <vt:lpstr>NB_Plug_yld</vt:lpstr>
      <vt:lpstr>NB_Sq_Max_P__psi</vt:lpstr>
      <vt:lpstr>NB_Sq_ppg</vt:lpstr>
      <vt:lpstr>NB_Sq_yld</vt:lpstr>
      <vt:lpstr>NB_Squeezed__sx</vt:lpstr>
      <vt:lpstr>'FORM 6'!Print_Area</vt:lpstr>
      <vt:lpstr>PROCEDURE!Print_Area</vt:lpstr>
      <vt:lpstr>WBD!Print_Area</vt:lpstr>
      <vt:lpstr>Pump_Increments__bbls</vt:lpstr>
      <vt:lpstr>Pump_Rate__bpm</vt:lpstr>
      <vt:lpstr>Range</vt:lpstr>
      <vt:lpstr>Section</vt:lpstr>
      <vt:lpstr>Sq_Info_Cmt_Over_CICR__bbls</vt:lpstr>
      <vt:lpstr>Squeeze_Cmt_Pumped__bbls</vt:lpstr>
      <vt:lpstr>Squeeze_Max_Pump_Pressure__psi</vt:lpstr>
      <vt:lpstr>Squeeze_Total_Volumn_Pumped__bbls</vt:lpstr>
      <vt:lpstr>Squeeze_Water_Pumped__bbls</vt:lpstr>
      <vt:lpstr>Stub_Plug_ppg</vt:lpstr>
      <vt:lpstr>Stub_Plug_yld</vt:lpstr>
      <vt:lpstr>SUSX_Circ_Max_P__psi</vt:lpstr>
      <vt:lpstr>SUSX_SH_Cmt_Above_CICR__sx</vt:lpstr>
      <vt:lpstr>SUSX_SH_Squeezed__sx</vt:lpstr>
      <vt:lpstr>SUSX_Sq_Max_P__psi</vt:lpstr>
      <vt:lpstr>SUSX_Sq_ppg</vt:lpstr>
      <vt:lpstr>SUSX_Sq_yld</vt:lpstr>
      <vt:lpstr>Top_of_Cement_Column__ft</vt:lpstr>
      <vt:lpstr>Total_Cmt_Vol__bbls</vt:lpstr>
      <vt:lpstr>Township</vt:lpstr>
      <vt:lpstr>Work_String_OD__in</vt:lpstr>
    </vt:vector>
  </TitlesOfParts>
  <Company>Anadarko Petroleum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Hasz</dc:creator>
  <cp:lastModifiedBy>Jacobson, Eric</cp:lastModifiedBy>
  <cp:lastPrinted>2019-12-05T18:04:14Z</cp:lastPrinted>
  <dcterms:created xsi:type="dcterms:W3CDTF">2016-09-27T21:16:15Z</dcterms:created>
  <dcterms:modified xsi:type="dcterms:W3CDTF">2019-12-06T13:18:15Z</dcterms:modified>
</cp:coreProperties>
</file>