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codeName="ThisWorkbook" defaultThemeVersion="124226"/>
  <mc:AlternateContent xmlns:mc="http://schemas.openxmlformats.org/markup-compatibility/2006">
    <mc:Choice Requires="x15">
      <x15ac:absPath xmlns:x15ac="http://schemas.microsoft.com/office/spreadsheetml/2010/11/ac" url="S:\Operations\07 Well Info\Well Files\DJ Basin\Campbell\7. Campbell JF 17-7D\4. Regulatory\"/>
    </mc:Choice>
  </mc:AlternateContent>
  <xr:revisionPtr revIDLastSave="0" documentId="13_ncr:1_{9486B98A-909C-4285-A685-2E1EAFC8C6F2}" xr6:coauthVersionLast="44" xr6:coauthVersionMax="44"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19" i="2" l="1"/>
  <c r="AG12" i="2"/>
  <c r="C13" i="2" l="1"/>
  <c r="C12" i="2"/>
  <c r="E13" i="2" l="1"/>
  <c r="K4" i="19" l="1"/>
  <c r="G28" i="19" l="1"/>
  <c r="G27" i="19" l="1"/>
  <c r="G26" i="19"/>
  <c r="G25" i="19"/>
  <c r="G24" i="19"/>
  <c r="G23" i="19"/>
  <c r="G22" i="19"/>
  <c r="G29" i="19"/>
  <c r="G30" i="19"/>
  <c r="G29" i="26"/>
  <c r="G28" i="26"/>
  <c r="Y12" i="2" l="1"/>
  <c r="Y13" i="2"/>
  <c r="C4" i="19" l="1"/>
  <c r="E4" i="19"/>
  <c r="E4" i="26"/>
  <c r="C4" i="26"/>
  <c r="G15" i="26"/>
  <c r="H15" i="26" s="1"/>
  <c r="G14" i="26"/>
  <c r="H14" i="26" s="1"/>
  <c r="G16" i="19"/>
  <c r="H16" i="19" s="1"/>
  <c r="G21" i="19"/>
  <c r="H21" i="19" s="1"/>
  <c r="G20" i="19"/>
  <c r="H20" i="19" s="1"/>
  <c r="G19" i="19"/>
  <c r="H19" i="19" s="1"/>
  <c r="G18" i="19"/>
  <c r="H18" i="19" s="1"/>
  <c r="G17" i="19"/>
  <c r="H17" i="19" s="1"/>
  <c r="G15" i="19"/>
  <c r="G14" i="19"/>
  <c r="H14" i="19" s="1"/>
  <c r="G13" i="19"/>
  <c r="H13" i="19" s="1"/>
  <c r="G12" i="19"/>
  <c r="H12" i="19" s="1"/>
  <c r="G11" i="19"/>
  <c r="H11" i="19" s="1"/>
  <c r="G10" i="19"/>
  <c r="H10" i="19" s="1"/>
  <c r="G9" i="19"/>
  <c r="H9" i="19" s="1"/>
  <c r="G8" i="19"/>
  <c r="H8" i="19" s="1"/>
  <c r="G27" i="26"/>
  <c r="G26" i="26"/>
  <c r="G25" i="26"/>
  <c r="G24" i="26"/>
  <c r="G23" i="26"/>
  <c r="G22" i="26"/>
  <c r="G21" i="26"/>
  <c r="H21" i="26" s="1"/>
  <c r="G20" i="26"/>
  <c r="H20" i="26" s="1"/>
  <c r="G19" i="26"/>
  <c r="H19" i="26" s="1"/>
  <c r="G18" i="26"/>
  <c r="H18" i="26" s="1"/>
  <c r="G17" i="26"/>
  <c r="H17" i="26" s="1"/>
  <c r="G16" i="26"/>
  <c r="H16" i="26" s="1"/>
  <c r="G13" i="26"/>
  <c r="H13" i="26" s="1"/>
  <c r="G12" i="26"/>
  <c r="H12" i="26" s="1"/>
  <c r="G11" i="26"/>
  <c r="H11" i="26" s="1"/>
  <c r="G10" i="26"/>
  <c r="H10" i="26" s="1"/>
  <c r="G9" i="26"/>
  <c r="H9" i="26" s="1"/>
  <c r="G8" i="26"/>
  <c r="H8" i="26" s="1"/>
  <c r="C6" i="26"/>
  <c r="E2" i="26"/>
  <c r="T23" i="26" l="1"/>
  <c r="T27" i="26"/>
  <c r="T30" i="26"/>
  <c r="T26" i="26"/>
  <c r="T24" i="26"/>
  <c r="T28" i="26"/>
  <c r="T31" i="26"/>
  <c r="T25" i="26"/>
  <c r="T29" i="26"/>
  <c r="T9" i="26"/>
  <c r="T8" i="26"/>
  <c r="T13" i="26"/>
  <c r="T17" i="26"/>
  <c r="T20" i="26"/>
  <c r="T16" i="26"/>
  <c r="T12" i="26"/>
  <c r="T11" i="26"/>
  <c r="T15" i="26"/>
  <c r="T19" i="26"/>
  <c r="T22" i="26"/>
  <c r="T10" i="26"/>
  <c r="T14" i="26"/>
  <c r="T18" i="26"/>
  <c r="T21" i="26"/>
  <c r="H15" i="19"/>
  <c r="C4" i="2" l="1"/>
  <c r="C5" i="2"/>
  <c r="F20" i="2"/>
  <c r="F19" i="2"/>
  <c r="E20" i="2"/>
  <c r="E19" i="2"/>
  <c r="D20" i="2"/>
  <c r="D19" i="2"/>
  <c r="C20" i="2"/>
  <c r="C19" i="2"/>
  <c r="B20" i="2"/>
  <c r="B19" i="2"/>
  <c r="A12" i="2" l="1"/>
  <c r="A19" i="2" s="1"/>
  <c r="A13" i="2" l="1"/>
  <c r="A20" i="2" s="1"/>
  <c r="AG20" i="2"/>
  <c r="AG19" i="2"/>
  <c r="AF20" i="2"/>
  <c r="G32" i="19" s="1"/>
  <c r="G31" i="26"/>
  <c r="AG13" i="2"/>
  <c r="G31" i="19" s="1"/>
  <c r="G30" i="26"/>
  <c r="E2" i="19" l="1"/>
  <c r="C6" i="19"/>
  <c r="T23" i="19" l="1"/>
  <c r="T27" i="19"/>
  <c r="T31" i="19"/>
  <c r="T21" i="19"/>
  <c r="T25" i="19"/>
  <c r="T22" i="19"/>
  <c r="T30" i="19"/>
  <c r="T24" i="19"/>
  <c r="T28" i="19"/>
  <c r="T32" i="19"/>
  <c r="T26" i="19"/>
  <c r="T29" i="19"/>
  <c r="T15" i="19"/>
  <c r="T11" i="19"/>
  <c r="T12" i="19"/>
  <c r="T20" i="19"/>
  <c r="T16" i="19"/>
  <c r="T9" i="19"/>
  <c r="T19" i="19"/>
  <c r="T14" i="19"/>
  <c r="T8" i="19"/>
  <c r="T18" i="19"/>
  <c r="T13" i="19"/>
  <c r="T17" i="19"/>
  <c r="T10" i="19"/>
  <c r="M20" i="2"/>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<sst xmlns="http://schemas.openxmlformats.org/spreadsheetml/2006/main" count="496" uniqueCount="218">
  <si>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</si>
  <si>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</si>
  <si>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</si>
  <si>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</si>
  <si>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</si>
  <si>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</si>
  <si>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</si>
  <si>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</si>
  <si>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</si>
  <si>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</si>
  <si>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</si>
  <si>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</si>
  <si>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</si>
  <si>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</si>
  <si>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</si>
  <si>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</si>
  <si>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</si>
  <si>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</si>
  <si>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</si>
  <si>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</si>
  <si>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</si>
  <si>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</si>
  <si>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</si>
  <si>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</si>
  <si>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</si>
  <si>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</si>
  <si>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</si>
  <si>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</si>
  <si>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</si>
  <si>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</si>
  <si>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</si>
  <si>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</si>
  <si>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</si>
  <si>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</si>
  <si>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</si>
  <si>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</si>
  <si>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</si>
  <si>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</si>
  <si>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</si>
  <si>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</si>
  <si>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</si>
  <si>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</si>
  <si>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</si>
  <si>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</si>
  <si>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</si>
  <si>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</si>
  <si>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</si>
  <si>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</si>
  <si>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</si>
  <si>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</si>
  <si>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</si>
  <si>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</si>
  <si>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</si>
  <si>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</si>
  <si>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</si>
  <si>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</si>
  <si>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</si>
  <si>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</si>
  <si>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</si>
  <si>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</si>
  <si>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</si>
  <si>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</si>
  <si>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</si>
  <si>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</si>
  <si>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</si>
  <si>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</si>
  <si>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</si>
  <si>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</si>
  <si>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</si>
  <si>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</si>
  <si>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</si>
  <si>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</si>
  <si>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</si>
  <si>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</si>
  <si>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</si>
  <si>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</si>
  <si>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</si>
  <si>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</si>
  <si>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</si>
  <si>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</si>
  <si>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</si>
  <si>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</si>
  <si>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</si>
  <si>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</si>
  <si>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</si>
  <si>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</si>
  <si>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</si>
  <si>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</si>
  <si>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</si>
  <si>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</si>
  <si>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</si>
  <si>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</si>
  <si>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</si>
  <si>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</si>
  <si>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</si>
  <si>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</si>
  <si>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</si>
  <si>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</si>
  <si>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</si>
  <si>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</si>
  <si>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</si>
  <si>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</si>
  <si>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</si>
  <si>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</si>
  <si>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</si>
  <si>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</si>
  <si>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</si>
  <si>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</si>
  <si>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</si>
  <si>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</si>
  <si>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</si>
  <si>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</si>
  <si>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</si>
  <si>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</si>
  <si>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</si>
  <si>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</si>
  <si>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</si>
  <si>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</si>
  <si>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</si>
  <si>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</si>
  <si>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</si>
  <si>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</si>
  <si>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</si>
  <si>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</si>
  <si>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</si>
  <si>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</si>
  <si>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</si>
  <si>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</si>
  <si>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</si>
  <si>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</si>
  <si>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</si>
  <si>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</si>
  <si>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</si>
  <si>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</si>
  <si>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</si>
  <si>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</si>
  <si>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</si>
  <si>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</si>
  <si>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</si>
  <si>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</si>
  <si>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</si>
  <si>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</si>
  <si>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</si>
  <si>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</si>
  <si>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</si>
  <si>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</si>
  <si>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</si>
  <si>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</si>
  <si>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</si>
  <si>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</si>
  <si>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</si>
  <si>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</si>
  <si>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</si>
  <si>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</si>
  <si>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</si>
  <si>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</si>
  <si>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</si>
  <si>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</si>
  <si>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</si>
  <si>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</si>
  <si>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</si>
  <si>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</si>
  <si>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</si>
  <si>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</si>
  <si>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</si>
  <si>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</si>
  <si>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</si>
  <si>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</si>
  <si>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</si>
  <si>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</si>
  <si>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</si>
  <si>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</si>
  <si>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</si>
  <si>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</si>
  <si>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</si>
  <si>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</si>
  <si>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</si>
  <si>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</si>
  <si>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</si>
  <si>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</si>
  <si>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</si>
  <si>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</si>
  <si>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</si>
  <si>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</si>
  <si>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</si>
  <si>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</si>
  <si>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</si>
  <si>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</si>
  <si>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</si>
  <si>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</si>
  <si>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</si>
  <si>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</si>
  <si>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</si>
  <si>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</si>
  <si>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</si>
  <si>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</si>
  <si>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</si>
  <si>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</si>
  <si>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</si>
  <si>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</si>
  <si>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</si>
  <si>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</si>
  <si>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</si>
  <si>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</si>
  <si>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</si>
  <si>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</si>
  <si>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</si>
  <si>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 xml:space="preserve"> Bradenhead Gas</t>
  </si>
  <si>
    <t xml:space="preserve"> Production Gas</t>
  </si>
  <si>
    <t>19082743</t>
  </si>
  <si>
    <t>DIG-020258 - DIG-020259</t>
  </si>
  <si>
    <t>Great Western Oil and Gas</t>
  </si>
  <si>
    <t>Campbell 17-7D</t>
  </si>
  <si>
    <t>DIG-020258</t>
  </si>
  <si>
    <t>DIG-020259</t>
  </si>
  <si>
    <t>nd</t>
  </si>
  <si>
    <t/>
  </si>
  <si>
    <t>none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</si>
</sst>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00\:00"/>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 fontId="32"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64" fontId="61" fillId="34" borderId="19" xfId="55"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32" fillId="34" borderId="19" xfId="55" applyNumberFormat="1" applyFont="1" applyFill="1" applyBorder="1" applyAlignment="1">
      <alignment horizontal="center"/>
    </xf>
    <xf numFmtId="164" fontId="61" fillId="34" borderId="19" xfId="0" applyNumberFormat="1" applyFont="1" applyFill="1" applyBorder="1" applyAlignment="1">
      <alignment horizontal="center"/>
    </xf>
    <xf numFmtId="164" fontId="61" fillId="34" borderId="29" xfId="0" applyNumberFormat="1" applyFont="1" applyFill="1" applyBorder="1" applyAlignment="1">
      <alignment horizontal="center"/>
    </xf>
    <xf numFmtId="14" fontId="32" fillId="0" borderId="31" xfId="0" applyNumberFormat="1" applyFont="1" applyBorder="1" applyAlignment="1">
      <alignment horizontal="center"/>
    </xf>
    <xf numFmtId="164" fontId="32" fillId="0" borderId="32" xfId="0" applyNumberFormat="1" applyFont="1" applyBorder="1" applyAlignment="1">
      <alignment horizontal="center"/>
    </xf>
    <xf numFmtId="164" fontId="61" fillId="0" borderId="32" xfId="0" applyNumberFormat="1" applyFont="1" applyBorder="1" applyAlignment="1">
      <alignment horizontal="center"/>
    </xf>
    <xf numFmtId="164" fontId="61" fillId="0" borderId="32" xfId="55" applyNumberFormat="1" applyFont="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Campbell 17-7D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-49.2</c:v>
                </c:pt>
                <c:pt idx="1">
                  <c:v>-34.1</c:v>
                </c:pt>
                <c:pt idx="2">
                  <c:v>-29.4</c:v>
                </c:pt>
                <c:pt idx="3">
                  <c:v>-30.3</c:v>
                </c:pt>
                <c:pt idx="4">
                  <c:v>-28.1</c:v>
                </c:pt>
                <c:pt idx="5">
                  <c:v>-26.6</c:v>
                </c:pt>
                <c:pt idx="6">
                  <c:v>-28.1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Campbell 17-7D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-48.1</c:v>
                </c:pt>
                <c:pt idx="1">
                  <c:v>-32.9</c:v>
                </c:pt>
                <c:pt idx="2">
                  <c:v>-28.9</c:v>
                </c:pt>
                <c:pt idx="3">
                  <c:v>-30.6</c:v>
                </c:pt>
                <c:pt idx="4">
                  <c:v>-27.9</c:v>
                </c:pt>
                <c:pt idx="5">
                  <c:v>-26.2</c:v>
                </c:pt>
                <c:pt idx="6">
                  <c:v>-26.7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Campbell 17-7D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80.179404004191198</c:v>
                </c:pt>
                <c:pt idx="1">
                  <c:v>11.387196706634601</c:v>
                </c:pt>
                <c:pt idx="2">
                  <c:v>5.4067724955193999</c:v>
                </c:pt>
                <c:pt idx="3">
                  <c:v>0.67436464000772844</c:v>
                </c:pt>
                <c:pt idx="4">
                  <c:v>1.3730402990442547</c:v>
                </c:pt>
                <c:pt idx="5">
                  <c:v>0.35068199636038605</c:v>
                </c:pt>
                <c:pt idx="6">
                  <c:v>0.30906651373023186</c:v>
                </c:pt>
                <c:pt idx="7">
                  <c:v>0.31947334451221343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Campbell 17-7D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76.586379880897709</c:v>
                </c:pt>
                <c:pt idx="1">
                  <c:v>13.699730820861324</c:v>
                </c:pt>
                <c:pt idx="2">
                  <c:v>6.337693520413433</c:v>
                </c:pt>
                <c:pt idx="3">
                  <c:v>0.83358419163739883</c:v>
                </c:pt>
                <c:pt idx="4">
                  <c:v>1.8567699776511348</c:v>
                </c:pt>
                <c:pt idx="5">
                  <c:v>0.36468297300503477</c:v>
                </c:pt>
                <c:pt idx="6">
                  <c:v>0.29743408399550236</c:v>
                </c:pt>
                <c:pt idx="7">
                  <c:v>2.3724551538461026E-2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Campbell 17-7D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19.820595995808816</c:v>
                </c:pt>
              </c:numCache>
            </c:numRef>
          </c:xVal>
          <c:yVal>
            <c:numRef>
              <c:f>'Data Summary'!$O$19</c:f>
              <c:numCache>
                <c:formatCode>0.0</c:formatCode>
                <c:ptCount val="1"/>
                <c:pt idx="0">
                  <c:v>-49.2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Campbell 17-7D Production Gas</c:v>
                </c:pt>
              </c:strCache>
            </c:strRef>
          </c:tx>
          <c:spPr>
            <a:ln w="28575">
              <a:noFill/>
            </a:ln>
          </c:spPr>
          <c:marker>
            <c:spPr>
              <a:ln>
                <a:solidFill>
                  <a:schemeClr val="tx1"/>
                </a:solidFill>
              </a:ln>
            </c:spPr>
          </c:marker>
          <c:xVal>
            <c:numRef>
              <c:f>'Data Summary'!$K$20</c:f>
              <c:numCache>
                <c:formatCode>0.0</c:formatCode>
                <c:ptCount val="1"/>
                <c:pt idx="0">
                  <c:v>23.413620119102291</c:v>
                </c:pt>
              </c:numCache>
            </c:numRef>
          </c:xVal>
          <c:yVal>
            <c:numRef>
              <c:f>'Data Summary'!$O$20</c:f>
              <c:numCache>
                <c:formatCode>0.0</c:formatCode>
                <c:ptCount val="1"/>
                <c:pt idx="0">
                  <c:v>-48.1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Campbell 17-7D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-34.1</c:v>
                </c:pt>
              </c:numCache>
            </c:numRef>
          </c:xVal>
          <c:yVal>
            <c:numRef>
              <c:f>'Data Summary'!$Q$19</c:f>
              <c:numCache>
                <c:formatCode>0.0</c:formatCode>
                <c:ptCount val="1"/>
                <c:pt idx="0">
                  <c:v>-29.4</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Campbell 17-7D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-32.9</c:v>
                </c:pt>
              </c:numCache>
            </c:numRef>
          </c:xVal>
          <c:yVal>
            <c:numRef>
              <c:f>'Data Summary'!$Q$20</c:f>
              <c:numCache>
                <c:formatCode>0.0</c:formatCode>
                <c:ptCount val="1"/>
                <c:pt idx="0">
                  <c:v>-28.9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Campbell 17-7D Bradenhead Gas</c:v>
                </c:pt>
              </c:strCache>
            </c:strRef>
          </c:tx>
          <c:spPr>
            <a:ln>
              <a:noFill/>
            </a:ln>
          </c:spPr>
          <c:marker>
            <c:symbol val="diamond"/>
            <c:size val="8"/>
            <c:spPr>
              <a:ln>
                <a:solidFill>
                  <a:schemeClr val="tx1"/>
                </a:solidFill>
              </a:ln>
            </c:spPr>
          </c:marker>
          <c:xVal>
            <c:numRef>
              <c:f>'Data Summary'!$M$19</c:f>
              <c:numCache>
                <c:formatCode>0.0</c:formatCode>
                <c:ptCount val="1"/>
                <c:pt idx="0">
                  <c:v>11.285116642094291</c:v>
                </c:pt>
              </c:numCache>
            </c:numRef>
          </c:xVal>
          <c:yVal>
            <c:numRef>
              <c:f>'Data Summary'!$K$19</c:f>
              <c:numCache>
                <c:formatCode>0.0</c:formatCode>
                <c:ptCount val="1"/>
                <c:pt idx="0">
                  <c:v>19.820595995808816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Campbell 17-7D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9.317293674752305</c:v>
                </c:pt>
              </c:numCache>
            </c:numRef>
          </c:xVal>
          <c:yVal>
            <c:numRef>
              <c:f>'Data Summary'!$K$20</c:f>
              <c:numCache>
                <c:formatCode>0.0</c:formatCode>
                <c:ptCount val="1"/>
                <c:pt idx="0">
                  <c:v>23.413620119102291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Campbell 17-7D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-261</c:v>
                </c:pt>
              </c:numCache>
            </c:numRef>
          </c:xVal>
          <c:yVal>
            <c:numRef>
              <c:f>'Data Summary'!$O$19</c:f>
              <c:numCache>
                <c:formatCode>0.0</c:formatCode>
                <c:ptCount val="1"/>
                <c:pt idx="0">
                  <c:v>-49.2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Campbell 17-7D Production Gas</c:v>
                </c:pt>
              </c:strCache>
            </c:strRef>
          </c:tx>
          <c:spPr>
            <a:ln w="28575">
              <a:noFill/>
            </a:ln>
          </c:spPr>
          <c:marker>
            <c:spPr>
              <a:ln>
                <a:solidFill>
                  <a:schemeClr val="tx1"/>
                </a:solidFill>
              </a:ln>
            </c:spPr>
          </c:marker>
          <c:xVal>
            <c:numRef>
              <c:f>'Data Summary'!$W$20</c:f>
              <c:numCache>
                <c:formatCode>0</c:formatCode>
                <c:ptCount val="1"/>
                <c:pt idx="0">
                  <c:v>-259</c:v>
                </c:pt>
              </c:numCache>
            </c:numRef>
          </c:xVal>
          <c:yVal>
            <c:numRef>
              <c:f>'Data Summary'!$O$20</c:f>
              <c:numCache>
                <c:formatCode>0.0</c:formatCode>
                <c:ptCount val="1"/>
                <c:pt idx="0">
                  <c:v>-48.1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Campbell 17-7D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-49.2</c:v>
                </c:pt>
              </c:numCache>
            </c:numRef>
          </c:xVal>
          <c:yVal>
            <c:numRef>
              <c:f>'Data Summary'!$L$19</c:f>
              <c:numCache>
                <c:formatCode>0.0</c:formatCode>
                <c:ptCount val="1"/>
                <c:pt idx="0">
                  <c:v>4.7742974301695966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Campbell 17-7D Production Gas</c:v>
                </c:pt>
              </c:strCache>
            </c:strRef>
          </c:tx>
          <c:spPr>
            <a:ln w="28575">
              <a:noFill/>
            </a:ln>
          </c:spPr>
          <c:marker>
            <c:spPr>
              <a:ln>
                <a:solidFill>
                  <a:schemeClr val="tx1"/>
                </a:solidFill>
              </a:ln>
            </c:spPr>
          </c:marker>
          <c:xVal>
            <c:numRef>
              <c:f>'Data Summary'!$O$20</c:f>
              <c:numCache>
                <c:formatCode>0.0</c:formatCode>
                <c:ptCount val="1"/>
                <c:pt idx="0">
                  <c:v>-48.1</c:v>
                </c:pt>
              </c:numCache>
            </c:numRef>
          </c:xVal>
          <c:yVal>
            <c:numRef>
              <c:f>'Data Summary'!$L$20</c:f>
              <c:numCache>
                <c:formatCode>0.0</c:formatCode>
                <c:ptCount val="1"/>
                <c:pt idx="0">
                  <c:v>3.8221668901396022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0</xdr:colOff>
      <xdr:row>37</xdr:row>
      <xdr:rowOff>48705</xdr:rowOff>
    </xdr:to>
    <xdr:pic>
      <xdr:nvPicPr>
        <xdr:cNvPr id="2" name="Picture 1">
          <a:extLst>
            <a:ext uri="{FF2B5EF4-FFF2-40B4-BE49-F238E27FC236}">
              <a16:creationId xmlns:a16="http://schemas.microsoft.com/office/drawing/2014/main" id="{62682F47-3072-4F8D-BAB5-27BD890E97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510893" cy="7097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view="pageBreakPreview" zoomScale="70" zoomScaleNormal="70" zoomScaleSheetLayoutView="70" zoomScalePageLayoutView="85" workbookViewId="0">
      <selection activeCell="D24" sqref="D24"/>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209</v>
      </c>
      <c r="E21" s="43"/>
      <c r="F21" s="37"/>
      <c r="G21" s="37"/>
      <c r="H21" s="37"/>
      <c r="I21" s="37"/>
      <c r="J21" s="36"/>
    </row>
    <row r="22" spans="1:10" ht="15" customHeight="1" x14ac:dyDescent="0.25">
      <c r="A22" s="36"/>
      <c r="B22" s="43" t="s">
        <v>45</v>
      </c>
      <c r="C22" s="44"/>
      <c r="D22" s="43" t="s">
        <v>210</v>
      </c>
      <c r="E22" s="43"/>
      <c r="F22" s="37"/>
      <c r="G22" s="37"/>
      <c r="H22" s="37"/>
      <c r="I22" s="37"/>
      <c r="J22" s="36"/>
    </row>
    <row r="23" spans="1:10" ht="15" customHeight="1" x14ac:dyDescent="0.25">
      <c r="A23" s="36"/>
      <c r="B23" s="43" t="s">
        <v>49</v>
      </c>
      <c r="C23" s="44"/>
      <c r="D23" s="43" t="s">
        <v>211</v>
      </c>
      <c r="E23" s="43"/>
      <c r="F23" s="45"/>
      <c r="G23" s="37"/>
      <c r="H23" s="37"/>
      <c r="I23" s="37"/>
      <c r="J23" s="36"/>
    </row>
    <row r="24" spans="1:10" ht="15" customHeight="1" x14ac:dyDescent="0.25">
      <c r="A24" s="36"/>
      <c r="B24" s="43" t="s">
        <v>50</v>
      </c>
      <c r="C24" s="44"/>
      <c r="D24" s="43" t="s">
        <v>212</v>
      </c>
      <c r="E24" s="43"/>
      <c r="F24" s="45"/>
      <c r="G24" s="37"/>
      <c r="H24" s="37"/>
      <c r="I24" s="37"/>
      <c r="J24" s="36"/>
    </row>
    <row r="25" spans="1:10" ht="15" customHeight="1" x14ac:dyDescent="0.25">
      <c r="A25" s="36"/>
      <c r="B25" s="43" t="s">
        <v>206</v>
      </c>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70" zoomScaleNormal="70" zoomScaleSheetLayoutView="70" zoomScalePageLayoutView="25" workbookViewId="0">
      <pane xSplit="2" ySplit="10" topLeftCell="D11" activePane="bottomRight" state="frozen"/>
      <selection pane="topRight" activeCell="C1" sqref="C1"/>
      <selection pane="bottomLeft" activeCell="A12" sqref="A12"/>
      <selection pane="bottomRight" activeCell="F14" sqref="F14"/>
    </sheetView>
  </sheetViews>
  <sheetFormatPr defaultColWidth="10.7109375" defaultRowHeight="15" customHeight="1" x14ac:dyDescent="0.2"/>
  <cols>
    <col min="1" max="1" width="10.7109375" style="25" customWidth="1"/>
    <col min="2" max="2" width="12.28515625" style="25" bestFit="1" customWidth="1"/>
    <col min="3" max="3" width="45.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Campbell 17-7D</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19082743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DIG-020258 - DIG-020259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19082743</v>
      </c>
      <c r="B12" s="173" t="s">
        <v>213</v>
      </c>
      <c r="C12" s="174" t="str">
        <f>Cover!D24&amp;D12</f>
        <v>Campbell 17-7D Bradenhead Gas</v>
      </c>
      <c r="D12" s="159" t="s">
        <v>207</v>
      </c>
      <c r="E12" s="176">
        <v>43705</v>
      </c>
      <c r="F12" s="188">
        <v>0.47569444444444442</v>
      </c>
      <c r="G12" s="95"/>
      <c r="H12" s="95"/>
      <c r="I12" s="114"/>
      <c r="J12" s="182">
        <v>43706</v>
      </c>
      <c r="K12" s="178" t="s">
        <v>215</v>
      </c>
      <c r="L12" s="178">
        <v>11287.723159950499</v>
      </c>
      <c r="M12" s="178" t="s">
        <v>215</v>
      </c>
      <c r="N12" s="178">
        <v>748149.05332951201</v>
      </c>
      <c r="O12" s="178">
        <v>106253.227271436</v>
      </c>
      <c r="P12" s="178">
        <v>50450.259319456098</v>
      </c>
      <c r="Q12" s="178">
        <v>6292.4546931566902</v>
      </c>
      <c r="R12" s="178">
        <v>12811.753999312999</v>
      </c>
      <c r="S12" s="178">
        <v>3272.1919906390399</v>
      </c>
      <c r="T12" s="178">
        <v>2883.8804994239999</v>
      </c>
      <c r="U12" s="178">
        <v>2980.98599296562</v>
      </c>
      <c r="V12" s="178" t="s">
        <v>215</v>
      </c>
      <c r="W12" s="178">
        <v>146.86026420245</v>
      </c>
      <c r="X12" s="179">
        <v>1169.1483934896801</v>
      </c>
      <c r="Y12" s="167">
        <f t="shared" ref="Y12:AF13" si="0">IF(N12="nd",NA(),100*N12/SUM($N12:$U12))</f>
        <v>80.179404004191198</v>
      </c>
      <c r="Z12" s="97">
        <f t="shared" si="0"/>
        <v>11.387196706634601</v>
      </c>
      <c r="AA12" s="97">
        <f t="shared" si="0"/>
        <v>5.4067724955193999</v>
      </c>
      <c r="AB12" s="97">
        <f t="shared" si="0"/>
        <v>0.67436464000772844</v>
      </c>
      <c r="AC12" s="97">
        <f t="shared" si="0"/>
        <v>1.3730402990442547</v>
      </c>
      <c r="AD12" s="97">
        <f t="shared" si="0"/>
        <v>0.35068199636038605</v>
      </c>
      <c r="AE12" s="97">
        <f t="shared" si="0"/>
        <v>0.30906651373023186</v>
      </c>
      <c r="AF12" s="140">
        <f t="shared" si="0"/>
        <v>0.31947334451221343</v>
      </c>
      <c r="AG12" s="138">
        <f>(L12/SUM(K12:U12))+(N12/SUM(K12:U12)*1010)+(O12/SUM(K12:U12)*1769.7)+(P12/SUM(K12:U12)*2516.1)+(Q12/SUM(K12:U12)*3251.9)+(R12/SUM(K12:U12)*3262.3)+(S12/SUM(K12:U12)*4000.9)+(T12/SUM(K12:U12)*4008.7)+(U12/SUM(K12:U12)*4755.9)</f>
        <v>1240.7102874094126</v>
      </c>
      <c r="AH12" s="116">
        <f>(Y12*1010+Z12*1769.7+AA12*2516.1+AB12*3251.9+AC12*3262.3+AD12*4000.9+AE12*4008.7+AF12*4755.9)/100</f>
        <v>1255.7071788434819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19082743</v>
      </c>
      <c r="B13" s="172" t="s">
        <v>214</v>
      </c>
      <c r="C13" s="175" t="str">
        <f>Cover!D24&amp;D13</f>
        <v>Campbell 17-7D Production Gas</v>
      </c>
      <c r="D13" s="165" t="s">
        <v>208</v>
      </c>
      <c r="E13" s="177">
        <f>E12</f>
        <v>43705</v>
      </c>
      <c r="F13" s="189">
        <v>0.4770833333333333</v>
      </c>
      <c r="G13" s="110"/>
      <c r="H13" s="110"/>
      <c r="I13" s="115"/>
      <c r="J13" s="183">
        <v>43706</v>
      </c>
      <c r="K13" s="180">
        <v>12098.809778765</v>
      </c>
      <c r="L13" s="180">
        <v>1715.39604134455</v>
      </c>
      <c r="M13" s="180">
        <v>20714.419710238999</v>
      </c>
      <c r="N13" s="180">
        <v>759518.38475156599</v>
      </c>
      <c r="O13" s="180">
        <v>135862.24392344101</v>
      </c>
      <c r="P13" s="180">
        <v>62851.838057376197</v>
      </c>
      <c r="Q13" s="180">
        <v>8266.7769356831996</v>
      </c>
      <c r="R13" s="180">
        <v>18413.860747484399</v>
      </c>
      <c r="S13" s="180">
        <v>3616.61463871161</v>
      </c>
      <c r="T13" s="180">
        <v>2949.69752321028</v>
      </c>
      <c r="U13" s="180">
        <v>235.27986427181401</v>
      </c>
      <c r="V13" s="180" t="s">
        <v>215</v>
      </c>
      <c r="W13" s="180">
        <v>100.905226232101</v>
      </c>
      <c r="X13" s="181">
        <v>750.86653046602805</v>
      </c>
      <c r="Y13" s="168">
        <f t="shared" si="0"/>
        <v>76.586379880897709</v>
      </c>
      <c r="Z13" s="113">
        <f t="shared" si="0"/>
        <v>13.699730820861324</v>
      </c>
      <c r="AA13" s="113">
        <f t="shared" si="0"/>
        <v>6.337693520413433</v>
      </c>
      <c r="AB13" s="113">
        <f t="shared" si="0"/>
        <v>0.83358419163739883</v>
      </c>
      <c r="AC13" s="113">
        <f t="shared" si="0"/>
        <v>1.8567699776511348</v>
      </c>
      <c r="AD13" s="113">
        <f t="shared" si="0"/>
        <v>0.36468297300503477</v>
      </c>
      <c r="AE13" s="113">
        <f t="shared" si="0"/>
        <v>0.29743408399550236</v>
      </c>
      <c r="AF13" s="141">
        <f t="shared" si="0"/>
        <v>2.3724551538461026E-2</v>
      </c>
      <c r="AG13" s="139">
        <f>(K13/SUM(K13:U13))+(L13/SUM(K13:U13))+(M13/SUM(K13:U13))+(N13/SUM(K13:U13)*1010)+(O13/SUM(K13:U13)*1769.7)+(P13/SUM(K13:U13)*2516.1)+(Q13/SUM(K13:U13)*3251.9)+(R13/SUM(K13:U13)*3262.3)+(S13/SUM(K13:U13)*4000.9)+(T13/SUM(K13:U13)*4008.7)+(U13/SUM(K13:U13)*4755.9)</f>
        <v>1247.3576158153755</v>
      </c>
      <c r="AH13" s="117">
        <f>(Y13*1010+Z13*1769.7+AA13*2516.1+AB13*3251.9+AC13*3262.3+AD13*4000.9+AE13*4008.7+AF13*4755.9)/100</f>
        <v>1290.7521682484455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9" t="s">
        <v>2</v>
      </c>
      <c r="Y16" s="199"/>
      <c r="Z16" s="200"/>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201"/>
      <c r="Y17" s="201"/>
      <c r="Z17" s="202"/>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19082743</v>
      </c>
      <c r="B19" s="95" t="str">
        <f t="shared" si="1"/>
        <v>DIG-020258</v>
      </c>
      <c r="C19" s="95" t="str">
        <f t="shared" si="1"/>
        <v>Campbell 17-7D Bradenhead Gas</v>
      </c>
      <c r="D19" s="96" t="str">
        <f t="shared" si="1"/>
        <v xml:space="preserve"> Bradenhead Gas</v>
      </c>
      <c r="E19" s="96">
        <f t="shared" si="1"/>
        <v>43705</v>
      </c>
      <c r="F19" s="190">
        <f t="shared" si="1"/>
        <v>0.47569444444444442</v>
      </c>
      <c r="G19" s="98"/>
      <c r="H19" s="98"/>
      <c r="I19" s="118"/>
      <c r="J19" s="119">
        <f>IF(SUM(N12:U12)&gt;0,SUM(N12:U12),NA())</f>
        <v>933093.80709590239</v>
      </c>
      <c r="K19" s="90">
        <f>IF(J19&gt;0, 100*SUM(O12:U12)/SUM(N12:U12), NA())</f>
        <v>19.820595995808816</v>
      </c>
      <c r="L19" s="90">
        <f>IF(Y12&gt;0,IF(Z12&gt;0,Y12/(Z12+AA12),NA()))</f>
        <v>4.7742974301695966</v>
      </c>
      <c r="M19" s="120">
        <f>(N12+O12)/SUM(P12:T12)</f>
        <v>11.285116642094291</v>
      </c>
      <c r="N19" s="186">
        <v>43712</v>
      </c>
      <c r="O19" s="185">
        <v>-49.2</v>
      </c>
      <c r="P19" s="185">
        <v>-34.1</v>
      </c>
      <c r="Q19" s="185">
        <v>-29.4</v>
      </c>
      <c r="R19" s="187">
        <v>-30.3</v>
      </c>
      <c r="S19" s="192">
        <v>-28.1</v>
      </c>
      <c r="T19" s="193">
        <v>-26.6</v>
      </c>
      <c r="U19" s="193">
        <v>-28.1</v>
      </c>
      <c r="V19" s="194" t="s">
        <v>216</v>
      </c>
      <c r="W19" s="170">
        <v>-261</v>
      </c>
      <c r="X19" s="203"/>
      <c r="Y19" s="204"/>
      <c r="Z19" s="205"/>
      <c r="AC19" s="146" t="s">
        <v>62</v>
      </c>
      <c r="AF19" s="128">
        <f>((L12/SUM(K12:U12)*31.9988)+(N12/SUM(K12:U12)*16.0425)+(O12/SUM(K12:U12)*30.069)+(P12/SUM(K12:U12)*44.0956)+(Q12/SUM(K12:U12)*58.1222)+(R12/SUM(K12:U12)*58.1222)+(S12/SUM(K12:U12)*72.1488)+(T12/SUM(K12:U12)*72.1488)+(U12/SUM(K12:U12)*86.1754))/28.967</f>
        <v>0.71627536377377099</v>
      </c>
      <c r="AG19" s="125">
        <f>((N12/SUM(N12:U12)*16.0425)+(O12/SUM(N12:U12)*30.069)+(P12/SUM(N12:U12)*44.0956)+(Q12/SUM(N12:U12)*58.1222)+(R12/SUM(N12:U12)*58.1222)+(S12/SUM(N12:U12)*72.1488)+(T12/SUM(N12:U12)*72.1488)+(U12/SUM(N12:U12)*86.1754))/28.967</f>
        <v>0.71157699094436055</v>
      </c>
      <c r="AR19" s="21"/>
      <c r="CF19" s="52"/>
      <c r="CG19" s="21"/>
    </row>
    <row r="20" spans="1:85" ht="15" customHeight="1" thickBot="1" x14ac:dyDescent="0.25">
      <c r="A20" s="143" t="str">
        <f t="shared" si="1"/>
        <v>19082743</v>
      </c>
      <c r="B20" s="110" t="str">
        <f t="shared" si="1"/>
        <v>DIG-020259</v>
      </c>
      <c r="C20" s="110" t="str">
        <f t="shared" si="1"/>
        <v>Campbell 17-7D Production Gas</v>
      </c>
      <c r="D20" s="111" t="str">
        <f t="shared" si="1"/>
        <v xml:space="preserve"> Production Gas</v>
      </c>
      <c r="E20" s="177">
        <f t="shared" si="1"/>
        <v>43705</v>
      </c>
      <c r="F20" s="191">
        <f t="shared" si="1"/>
        <v>0.4770833333333333</v>
      </c>
      <c r="G20" s="110"/>
      <c r="H20" s="110"/>
      <c r="I20" s="115"/>
      <c r="J20" s="121">
        <f>IF(SUM(N13:U13)&gt;0,SUM(N13:U13),NA())</f>
        <v>991714.69644174457</v>
      </c>
      <c r="K20" s="112">
        <f>IF(J20&gt;0, 100*SUM(O13:U13)/SUM(N13:U13), NA())</f>
        <v>23.413620119102291</v>
      </c>
      <c r="L20" s="112">
        <f>IF(Y13&gt;0,IF(Z13&gt;0,Y13/(Z13+AA13),NA()))</f>
        <v>3.8221668901396022</v>
      </c>
      <c r="M20" s="122">
        <f>(N13+O13)/SUM(P13:T13)</f>
        <v>9.317293674752305</v>
      </c>
      <c r="N20" s="195">
        <v>43712</v>
      </c>
      <c r="O20" s="196">
        <v>-48.1</v>
      </c>
      <c r="P20" s="196">
        <v>-32.9</v>
      </c>
      <c r="Q20" s="196">
        <v>-28.9</v>
      </c>
      <c r="R20" s="196">
        <v>-30.6</v>
      </c>
      <c r="S20" s="196">
        <v>-27.9</v>
      </c>
      <c r="T20" s="197">
        <v>-26.2</v>
      </c>
      <c r="U20" s="197">
        <v>-26.7</v>
      </c>
      <c r="V20" s="198">
        <v>1.6</v>
      </c>
      <c r="W20" s="166">
        <v>-259</v>
      </c>
      <c r="X20" s="206"/>
      <c r="Y20" s="207"/>
      <c r="Z20" s="208"/>
      <c r="AC20" s="146" t="s">
        <v>60</v>
      </c>
      <c r="AF20" s="124">
        <f>((K13/SUM(K13:U13)*28.0134)+(L13/SUM(K13:U13)*31.9988)+(M13/SUM(K13:U13)*44.0095)+(N13/SUM(K13:U13)*16.0425)+(O13/SUM(K13:U13)*30.069)+(P13/SUM(K13:U13)*44.0956)+(Q13/SUM(K13:U13)*58.1222)+(R13/SUM(K13:U13)*58.1222)+(S13/SUM(K13:U13)*72.1488)+(T13/SUM(K13:U13)*72.1488)+(U13/SUM(K13:U13)*86.1754))/28.967</f>
        <v>0.75323364516791691</v>
      </c>
      <c r="AG20" s="126">
        <f>((N13/SUM(N13:U13)*16.0425)+(O13/SUM(N13:U13)*30.069)+(P13/SUM(N13:U13)*44.0956)+(Q13/SUM(N13:U13)*58.1222)+(R13/SUM(N13:U13)*58.1222)+(S13/SUM(N13:U13)*72.1488)+(T13/SUM(N13:U13)*72.1488)+(U13/SUM(N13:U13)*86.1754))/28.967</f>
        <v>0.73401571810319088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W12:AF13 K12:U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zoomScale="55" zoomScaleNormal="55" workbookViewId="0">
      <selection activeCell="D39" sqref="D39"/>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tr">
        <f>Cover!D23</f>
        <v>Great Western Oil and Gas</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431833</v>
      </c>
      <c r="C4" s="107">
        <f>'Data Summary'!E12+'Data Summary'!F12</f>
        <v>43705.475694444445</v>
      </c>
      <c r="D4" s="151"/>
      <c r="E4" s="102" t="str">
        <f>'Data Summary'!B12</f>
        <v>DIG-020258</v>
      </c>
      <c r="F4" s="157" t="s">
        <v>181</v>
      </c>
      <c r="G4" s="100" t="s">
        <v>98</v>
      </c>
      <c r="I4" s="100"/>
      <c r="K4" s="156">
        <v>43705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tr">
        <f>Cover!D21</f>
        <v>19082743</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f>IF('Data Summary'!L12="nd",'EDD 1'!P8,ROUND((100*'Data Summary'!L12/SUM('Data Summary'!$K$12:$X$12)),3))</f>
        <v>1.194</v>
      </c>
      <c r="H8" s="152" t="str">
        <f>IF(G8=0.005,"ND","")</f>
        <v/>
      </c>
      <c r="I8" s="151"/>
      <c r="J8" s="151"/>
      <c r="K8" s="151"/>
      <c r="L8" s="151"/>
      <c r="M8" s="151"/>
      <c r="N8" s="151"/>
      <c r="O8" s="151"/>
      <c r="P8" s="105">
        <v>5.0000000000000001E-3</v>
      </c>
      <c r="Q8" s="105">
        <v>5.0000000000000001E-3</v>
      </c>
      <c r="R8" s="105">
        <v>5.0000000000000001E-3</v>
      </c>
      <c r="S8" s="151"/>
      <c r="T8" s="150" t="str">
        <f>$C$6</f>
        <v>19082743</v>
      </c>
    </row>
    <row r="9" spans="1:20" x14ac:dyDescent="0.25">
      <c r="A9" s="151"/>
      <c r="B9" s="150" t="s">
        <v>138</v>
      </c>
      <c r="C9" s="150" t="s">
        <v>139</v>
      </c>
      <c r="D9" s="150" t="s">
        <v>136</v>
      </c>
      <c r="E9" s="151"/>
      <c r="F9" s="150" t="s">
        <v>137</v>
      </c>
      <c r="G9" s="152">
        <f>IF('Data Summary'!M12="nd",'EDD 1'!P9,ROUND((100*'Data Summary'!M12/SUM('Data Summary'!$K$12:$X$12)),3))</f>
        <v>5.0000000000000001E-3</v>
      </c>
      <c r="H9" s="161" t="str">
        <f t="shared" ref="H9:H21" si="0">IF(G9=0.005,"ND","")</f>
        <v>ND</v>
      </c>
      <c r="I9" s="151"/>
      <c r="J9" s="151"/>
      <c r="K9" s="151"/>
      <c r="L9" s="151"/>
      <c r="M9" s="151"/>
      <c r="N9" s="151"/>
      <c r="O9" s="151"/>
      <c r="P9" s="105">
        <v>5.0000000000000001E-3</v>
      </c>
      <c r="Q9" s="105">
        <v>5.0000000000000001E-3</v>
      </c>
      <c r="R9" s="105">
        <v>5.0000000000000001E-3</v>
      </c>
      <c r="S9" s="151"/>
      <c r="T9" s="150" t="str">
        <f t="shared" ref="T9:T31" si="1">$C$6</f>
        <v>19082743</v>
      </c>
    </row>
    <row r="10" spans="1:20" x14ac:dyDescent="0.25">
      <c r="A10" s="151"/>
      <c r="B10" s="150" t="s">
        <v>140</v>
      </c>
      <c r="C10" s="150" t="s">
        <v>141</v>
      </c>
      <c r="D10" s="150" t="s">
        <v>136</v>
      </c>
      <c r="E10" s="151"/>
      <c r="F10" s="150" t="s">
        <v>137</v>
      </c>
      <c r="G10" s="152">
        <f>IF('Data Summary'!K12="nd",'EDD 1'!P10,ROUND((100*'Data Summary'!K12/SUM('Data Summary'!$K$12:$X$12)),3))</f>
        <v>5.0000000000000001E-3</v>
      </c>
      <c r="H10" s="161" t="str">
        <f t="shared" si="0"/>
        <v>ND</v>
      </c>
      <c r="I10" s="151"/>
      <c r="J10" s="151"/>
      <c r="K10" s="151"/>
      <c r="L10" s="151"/>
      <c r="M10" s="151"/>
      <c r="N10" s="151"/>
      <c r="O10" s="151"/>
      <c r="P10" s="105">
        <v>5.0000000000000001E-3</v>
      </c>
      <c r="Q10" s="105">
        <v>5.0000000000000001E-3</v>
      </c>
      <c r="R10" s="105">
        <v>5.0000000000000001E-3</v>
      </c>
      <c r="S10" s="151"/>
      <c r="T10" s="150" t="str">
        <f t="shared" si="1"/>
        <v>19082743</v>
      </c>
    </row>
    <row r="11" spans="1:20" x14ac:dyDescent="0.25">
      <c r="A11" s="151"/>
      <c r="B11" s="150" t="s">
        <v>186</v>
      </c>
      <c r="C11" s="150" t="s">
        <v>187</v>
      </c>
      <c r="D11" s="150" t="s">
        <v>136</v>
      </c>
      <c r="E11" s="151"/>
      <c r="F11" s="150" t="s">
        <v>137</v>
      </c>
      <c r="G11" s="152">
        <f>IF('Data Summary'!W12="nd",'EDD 1'!P11,ROUND((100*'Data Summary'!W12/SUM('Data Summary'!$K$12:$X$12)),3))</f>
        <v>1.6E-2</v>
      </c>
      <c r="H11" s="161" t="str">
        <f t="shared" si="0"/>
        <v/>
      </c>
      <c r="P11" s="105">
        <v>5.0000000000000001E-3</v>
      </c>
      <c r="Q11" s="105">
        <v>5.0000000000000001E-3</v>
      </c>
      <c r="R11" s="105">
        <v>5.0000000000000001E-3</v>
      </c>
      <c r="S11" s="151"/>
      <c r="T11" s="150" t="str">
        <f t="shared" si="1"/>
        <v>19082743</v>
      </c>
    </row>
    <row r="12" spans="1:20" x14ac:dyDescent="0.25">
      <c r="A12" s="151"/>
      <c r="B12" s="150" t="s">
        <v>188</v>
      </c>
      <c r="C12" s="150" t="s">
        <v>189</v>
      </c>
      <c r="D12" s="150" t="s">
        <v>136</v>
      </c>
      <c r="E12" s="151"/>
      <c r="F12" s="150" t="s">
        <v>137</v>
      </c>
      <c r="G12" s="152">
        <f>IF('Data Summary'!X12="nd",'EDD 1'!P12,ROUND((100*'Data Summary'!X12/SUM('Data Summary'!$K$12:$X$12)),3))</f>
        <v>0.124</v>
      </c>
      <c r="H12" s="161" t="str">
        <f t="shared" si="0"/>
        <v/>
      </c>
      <c r="P12" s="105">
        <v>5.0000000000000001E-3</v>
      </c>
      <c r="Q12" s="105">
        <v>5.0000000000000001E-3</v>
      </c>
      <c r="R12" s="105">
        <v>5.0000000000000001E-3</v>
      </c>
      <c r="S12" s="151"/>
      <c r="T12" s="150" t="str">
        <f t="shared" si="1"/>
        <v>19082743</v>
      </c>
    </row>
    <row r="13" spans="1:20" x14ac:dyDescent="0.25">
      <c r="A13" s="151"/>
      <c r="B13" s="150" t="s">
        <v>142</v>
      </c>
      <c r="C13" s="150" t="s">
        <v>143</v>
      </c>
      <c r="D13" s="150" t="s">
        <v>136</v>
      </c>
      <c r="E13" s="151"/>
      <c r="F13" s="150" t="s">
        <v>137</v>
      </c>
      <c r="G13" s="152">
        <f>IF('Data Summary'!N12="nd",'EDD 1'!P13,ROUND((100*'Data Summary'!N12/SUM('Data Summary'!$K$12:$X$12)),3))</f>
        <v>79.111000000000004</v>
      </c>
      <c r="H13" s="161" t="str">
        <f t="shared" si="0"/>
        <v/>
      </c>
      <c r="I13" s="151"/>
      <c r="J13" s="151"/>
      <c r="K13" s="151"/>
      <c r="L13" s="151"/>
      <c r="M13" s="151"/>
      <c r="N13" s="151"/>
      <c r="O13" s="151"/>
      <c r="P13" s="105">
        <v>5.0000000000000001E-3</v>
      </c>
      <c r="Q13" s="105">
        <v>5.0000000000000001E-3</v>
      </c>
      <c r="R13" s="105">
        <v>5.0000000000000001E-3</v>
      </c>
      <c r="S13" s="151"/>
      <c r="T13" s="150" t="str">
        <f t="shared" si="1"/>
        <v>19082743</v>
      </c>
    </row>
    <row r="14" spans="1:20" x14ac:dyDescent="0.25">
      <c r="A14" s="151"/>
      <c r="B14" s="150" t="s">
        <v>144</v>
      </c>
      <c r="C14" s="150" t="s">
        <v>145</v>
      </c>
      <c r="D14" s="150" t="s">
        <v>136</v>
      </c>
      <c r="E14" s="151"/>
      <c r="F14" s="150" t="s">
        <v>137</v>
      </c>
      <c r="G14" s="152">
        <f>IF('Data Summary'!O12="nd",'EDD 1'!P14,ROUND((100*'Data Summary'!O12/SUM('Data Summary'!$K$12:$X$12)),3))</f>
        <v>11.234999999999999</v>
      </c>
      <c r="H14" s="161" t="str">
        <f t="shared" si="0"/>
        <v/>
      </c>
      <c r="I14" s="151"/>
      <c r="J14" s="151"/>
      <c r="K14" s="151"/>
      <c r="L14" s="151"/>
      <c r="M14" s="151"/>
      <c r="N14" s="151"/>
      <c r="O14" s="151"/>
      <c r="P14" s="105">
        <v>5.0000000000000001E-3</v>
      </c>
      <c r="Q14" s="105">
        <v>5.0000000000000001E-3</v>
      </c>
      <c r="R14" s="105">
        <v>5.0000000000000001E-3</v>
      </c>
      <c r="S14" s="151"/>
      <c r="T14" s="150" t="str">
        <f t="shared" si="1"/>
        <v>19082743</v>
      </c>
    </row>
    <row r="15" spans="1:20" x14ac:dyDescent="0.25">
      <c r="A15" s="151"/>
      <c r="B15" s="150" t="s">
        <v>190</v>
      </c>
      <c r="C15" s="150" t="s">
        <v>191</v>
      </c>
      <c r="D15" s="150" t="s">
        <v>136</v>
      </c>
      <c r="E15" s="151"/>
      <c r="F15" s="150" t="s">
        <v>137</v>
      </c>
      <c r="G15" s="152">
        <f>IF('Data Summary'!V12="nd",'EDD 1'!P15,ROUND((100*'Data Summary'!V12/SUM('Data Summary'!$K$12:$X$12)),3))</f>
        <v>5.0000000000000001E-3</v>
      </c>
      <c r="H15" s="161" t="str">
        <f t="shared" si="0"/>
        <v>ND</v>
      </c>
      <c r="P15" s="105">
        <v>5.0000000000000001E-3</v>
      </c>
      <c r="Q15" s="105">
        <v>5.0000000000000001E-3</v>
      </c>
      <c r="R15" s="105">
        <v>5.0000000000000001E-3</v>
      </c>
      <c r="S15" s="151"/>
      <c r="T15" s="150" t="str">
        <f t="shared" si="1"/>
        <v>19082743</v>
      </c>
    </row>
    <row r="16" spans="1:20" x14ac:dyDescent="0.25">
      <c r="A16" s="151"/>
      <c r="B16" s="150" t="s">
        <v>146</v>
      </c>
      <c r="C16" s="150" t="s">
        <v>147</v>
      </c>
      <c r="D16" s="150" t="s">
        <v>136</v>
      </c>
      <c r="E16" s="151"/>
      <c r="F16" s="150" t="s">
        <v>137</v>
      </c>
      <c r="G16" s="152">
        <f>IF('Data Summary'!P12="nd",'EDD 1'!P16,ROUND((100*'Data Summary'!P12/SUM('Data Summary'!$K$12:$X$12)),3))</f>
        <v>5.335</v>
      </c>
      <c r="H16" s="161" t="str">
        <f t="shared" si="0"/>
        <v/>
      </c>
      <c r="I16" s="151"/>
      <c r="J16" s="151"/>
      <c r="K16" s="151"/>
      <c r="L16" s="151"/>
      <c r="M16" s="151"/>
      <c r="N16" s="151"/>
      <c r="O16" s="151"/>
      <c r="P16" s="105">
        <v>5.0000000000000001E-3</v>
      </c>
      <c r="Q16" s="105">
        <v>5.0000000000000001E-3</v>
      </c>
      <c r="R16" s="105">
        <v>5.0000000000000001E-3</v>
      </c>
      <c r="S16" s="151"/>
      <c r="T16" s="150" t="str">
        <f t="shared" si="1"/>
        <v>19082743</v>
      </c>
    </row>
    <row r="17" spans="1:20" x14ac:dyDescent="0.25">
      <c r="A17" s="151"/>
      <c r="B17" s="150" t="s">
        <v>148</v>
      </c>
      <c r="C17" s="150" t="s">
        <v>149</v>
      </c>
      <c r="D17" s="150" t="s">
        <v>136</v>
      </c>
      <c r="E17" s="151"/>
      <c r="F17" s="150" t="s">
        <v>137</v>
      </c>
      <c r="G17" s="152">
        <f>IF('Data Summary'!Q12="nd",'EDD 1'!P17,ROUND((100*'Data Summary'!Q12/SUM('Data Summary'!$K$12:$X$12)),3))</f>
        <v>0.66500000000000004</v>
      </c>
      <c r="H17" s="161" t="str">
        <f t="shared" si="0"/>
        <v/>
      </c>
      <c r="I17" s="151"/>
      <c r="J17" s="151"/>
      <c r="K17" s="151"/>
      <c r="M17" s="151"/>
      <c r="N17" s="151"/>
      <c r="O17" s="151"/>
      <c r="P17" s="105">
        <v>5.0000000000000001E-3</v>
      </c>
      <c r="Q17" s="105">
        <v>5.0000000000000001E-3</v>
      </c>
      <c r="R17" s="105">
        <v>5.0000000000000001E-3</v>
      </c>
      <c r="S17" s="151"/>
      <c r="T17" s="150" t="str">
        <f t="shared" si="1"/>
        <v>19082743</v>
      </c>
    </row>
    <row r="18" spans="1:20" x14ac:dyDescent="0.25">
      <c r="A18" s="151"/>
      <c r="B18" s="150" t="s">
        <v>150</v>
      </c>
      <c r="C18" s="150" t="s">
        <v>151</v>
      </c>
      <c r="D18" s="150" t="s">
        <v>136</v>
      </c>
      <c r="E18" s="151"/>
      <c r="F18" s="150" t="s">
        <v>137</v>
      </c>
      <c r="G18" s="152">
        <f>IF('Data Summary'!R12="nd",'EDD 1'!P18,ROUND((100*'Data Summary'!R12/SUM('Data Summary'!$K$12:$X$12)),3))</f>
        <v>1.355</v>
      </c>
      <c r="H18" s="161" t="str">
        <f t="shared" si="0"/>
        <v/>
      </c>
      <c r="I18" s="151"/>
      <c r="J18" s="151"/>
      <c r="K18" s="151"/>
      <c r="M18" s="151"/>
      <c r="N18" s="151"/>
      <c r="O18" s="151"/>
      <c r="P18" s="105">
        <v>5.0000000000000001E-3</v>
      </c>
      <c r="Q18" s="105">
        <v>5.0000000000000001E-3</v>
      </c>
      <c r="R18" s="105">
        <v>5.0000000000000001E-3</v>
      </c>
      <c r="S18" s="151"/>
      <c r="T18" s="150" t="str">
        <f t="shared" si="1"/>
        <v>19082743</v>
      </c>
    </row>
    <row r="19" spans="1:20" x14ac:dyDescent="0.25">
      <c r="A19" s="151"/>
      <c r="B19" s="150" t="s">
        <v>77</v>
      </c>
      <c r="C19" s="150" t="s">
        <v>152</v>
      </c>
      <c r="D19" s="150" t="s">
        <v>136</v>
      </c>
      <c r="E19" s="151"/>
      <c r="F19" s="150" t="s">
        <v>137</v>
      </c>
      <c r="G19" s="152">
        <f>IF('Data Summary'!S12="nd",'EDD 1'!P19,ROUND((100*'Data Summary'!S12/SUM('Data Summary'!$K$12:$X$12)),3))</f>
        <v>0.34599999999999997</v>
      </c>
      <c r="H19" s="161" t="str">
        <f t="shared" si="0"/>
        <v/>
      </c>
      <c r="I19" s="151"/>
      <c r="J19" s="151"/>
      <c r="K19" s="151"/>
      <c r="L19" s="151"/>
      <c r="M19" s="151"/>
      <c r="N19" s="151"/>
      <c r="O19" s="151"/>
      <c r="P19" s="105">
        <v>5.0000000000000001E-3</v>
      </c>
      <c r="Q19" s="105">
        <v>5.0000000000000001E-3</v>
      </c>
      <c r="R19" s="105">
        <v>5.0000000000000001E-3</v>
      </c>
      <c r="S19" s="151"/>
      <c r="T19" s="150" t="str">
        <f t="shared" si="1"/>
        <v>19082743</v>
      </c>
    </row>
    <row r="20" spans="1:20" x14ac:dyDescent="0.25">
      <c r="A20" s="151"/>
      <c r="B20" s="150" t="s">
        <v>153</v>
      </c>
      <c r="C20" s="150" t="s">
        <v>154</v>
      </c>
      <c r="D20" s="150" t="s">
        <v>136</v>
      </c>
      <c r="E20" s="151"/>
      <c r="F20" s="150" t="s">
        <v>137</v>
      </c>
      <c r="G20" s="152">
        <f>IF('Data Summary'!T12="nd",'EDD 1'!P20,ROUND((100*'Data Summary'!T12/SUM('Data Summary'!$K$12:$X$12)),3))</f>
        <v>0.30499999999999999</v>
      </c>
      <c r="H20" s="161" t="str">
        <f t="shared" si="0"/>
        <v/>
      </c>
      <c r="I20" s="151"/>
      <c r="J20" s="151"/>
      <c r="K20" s="151"/>
      <c r="L20" s="151"/>
      <c r="M20" s="151"/>
      <c r="N20" s="151"/>
      <c r="O20" s="151"/>
      <c r="P20" s="105">
        <v>5.0000000000000001E-3</v>
      </c>
      <c r="Q20" s="105">
        <v>5.0000000000000001E-3</v>
      </c>
      <c r="R20" s="105">
        <v>5.0000000000000001E-3</v>
      </c>
      <c r="S20" s="151"/>
      <c r="T20" s="150" t="str">
        <f t="shared" si="1"/>
        <v>19082743</v>
      </c>
    </row>
    <row r="21" spans="1:20" x14ac:dyDescent="0.25">
      <c r="A21" s="147"/>
      <c r="B21" s="150" t="s">
        <v>155</v>
      </c>
      <c r="C21" s="150" t="s">
        <v>156</v>
      </c>
      <c r="D21" s="150" t="s">
        <v>136</v>
      </c>
      <c r="E21" s="151"/>
      <c r="F21" s="150" t="s">
        <v>137</v>
      </c>
      <c r="G21" s="152">
        <f>IF('Data Summary'!U12="nd",'EDD 1'!P21,ROUND((100*'Data Summary'!U12/SUM('Data Summary'!$K$12:$X$12)),3))</f>
        <v>0.315</v>
      </c>
      <c r="H21" s="161" t="str">
        <f t="shared" si="0"/>
        <v/>
      </c>
      <c r="I21" s="108"/>
      <c r="J21" s="151"/>
      <c r="K21" s="151"/>
      <c r="M21" s="151"/>
      <c r="N21" s="151"/>
      <c r="O21" s="151"/>
      <c r="P21" s="105">
        <v>5.0000000000000001E-3</v>
      </c>
      <c r="Q21" s="105">
        <v>5.0000000000000001E-3</v>
      </c>
      <c r="R21" s="105">
        <v>5.0000000000000001E-3</v>
      </c>
      <c r="S21" s="151"/>
      <c r="T21" s="150" t="str">
        <f t="shared" si="1"/>
        <v>19082743</v>
      </c>
    </row>
    <row r="22" spans="1:20" x14ac:dyDescent="0.25">
      <c r="A22" s="147"/>
      <c r="B22" s="153" t="s">
        <v>157</v>
      </c>
      <c r="C22" s="153" t="s">
        <v>158</v>
      </c>
      <c r="D22" s="150" t="s">
        <v>136</v>
      </c>
      <c r="E22" s="151"/>
      <c r="F22" s="154" t="s">
        <v>159</v>
      </c>
      <c r="G22" s="155">
        <f>'Data Summary'!O19</f>
        <v>-49.2</v>
      </c>
      <c r="H22" s="152"/>
      <c r="I22" s="151"/>
      <c r="J22" s="151"/>
      <c r="K22" s="151"/>
      <c r="M22" s="151"/>
      <c r="N22" s="151"/>
      <c r="O22" s="151"/>
      <c r="P22" s="151"/>
      <c r="Q22" s="151"/>
      <c r="R22" s="151"/>
      <c r="S22" s="151"/>
      <c r="T22" s="150" t="str">
        <f t="shared" si="1"/>
        <v>19082743</v>
      </c>
    </row>
    <row r="23" spans="1:20" x14ac:dyDescent="0.25">
      <c r="A23" s="147"/>
      <c r="B23" s="153" t="s">
        <v>160</v>
      </c>
      <c r="C23" s="153" t="s">
        <v>161</v>
      </c>
      <c r="D23" s="150" t="s">
        <v>136</v>
      </c>
      <c r="E23" s="151"/>
      <c r="F23" s="154" t="s">
        <v>159</v>
      </c>
      <c r="G23" s="106">
        <f>'Data Summary'!W19</f>
        <v>-261</v>
      </c>
      <c r="H23" s="152"/>
      <c r="I23" s="151"/>
      <c r="J23" s="151"/>
      <c r="K23" s="151"/>
      <c r="M23" s="151"/>
      <c r="N23" s="151"/>
      <c r="O23" s="151"/>
      <c r="P23" s="151"/>
      <c r="Q23" s="151"/>
      <c r="R23" s="151"/>
      <c r="S23" s="151"/>
      <c r="T23" s="160" t="str">
        <f t="shared" si="1"/>
        <v>19082743</v>
      </c>
    </row>
    <row r="24" spans="1:20" x14ac:dyDescent="0.25">
      <c r="A24" s="147"/>
      <c r="B24" s="153" t="s">
        <v>162</v>
      </c>
      <c r="C24" s="154" t="s">
        <v>163</v>
      </c>
      <c r="D24" s="150" t="s">
        <v>136</v>
      </c>
      <c r="E24" s="147"/>
      <c r="F24" s="154" t="s">
        <v>159</v>
      </c>
      <c r="G24" s="155">
        <f>'Data Summary'!P19</f>
        <v>-34.1</v>
      </c>
      <c r="H24" s="152"/>
      <c r="I24" s="151"/>
      <c r="J24" s="151"/>
      <c r="K24" s="151"/>
      <c r="M24" s="151"/>
      <c r="N24" s="151"/>
      <c r="O24" s="151"/>
      <c r="P24" s="151"/>
      <c r="Q24" s="151"/>
      <c r="R24" s="151"/>
      <c r="S24" s="151"/>
      <c r="T24" s="160" t="str">
        <f t="shared" si="1"/>
        <v>19082743</v>
      </c>
    </row>
    <row r="25" spans="1:20" x14ac:dyDescent="0.25">
      <c r="B25" s="153" t="s">
        <v>164</v>
      </c>
      <c r="C25" s="154" t="s">
        <v>165</v>
      </c>
      <c r="D25" s="150" t="s">
        <v>136</v>
      </c>
      <c r="E25" s="147"/>
      <c r="F25" s="154" t="s">
        <v>159</v>
      </c>
      <c r="G25" s="155">
        <f>'Data Summary'!Q19</f>
        <v>-29.4</v>
      </c>
      <c r="H25" s="152"/>
      <c r="T25" s="160" t="str">
        <f t="shared" si="1"/>
        <v>19082743</v>
      </c>
    </row>
    <row r="26" spans="1:20" x14ac:dyDescent="0.25">
      <c r="B26" s="153" t="s">
        <v>166</v>
      </c>
      <c r="C26" s="154" t="s">
        <v>167</v>
      </c>
      <c r="D26" s="150" t="s">
        <v>136</v>
      </c>
      <c r="E26" s="147"/>
      <c r="F26" s="154" t="s">
        <v>159</v>
      </c>
      <c r="G26" s="155">
        <f>'Data Summary'!R19</f>
        <v>-30.3</v>
      </c>
      <c r="H26" s="152"/>
      <c r="K26" s="171"/>
      <c r="T26" s="160" t="str">
        <f t="shared" si="1"/>
        <v>19082743</v>
      </c>
    </row>
    <row r="27" spans="1:20" x14ac:dyDescent="0.25">
      <c r="B27" s="153" t="s">
        <v>168</v>
      </c>
      <c r="C27" s="154" t="s">
        <v>169</v>
      </c>
      <c r="D27" s="150" t="s">
        <v>136</v>
      </c>
      <c r="E27" s="147"/>
      <c r="F27" s="154" t="s">
        <v>159</v>
      </c>
      <c r="G27" s="155">
        <f>'Data Summary'!S19</f>
        <v>-28.1</v>
      </c>
      <c r="H27" s="152"/>
      <c r="K27" s="184"/>
      <c r="T27" s="160" t="str">
        <f t="shared" si="1"/>
        <v>19082743</v>
      </c>
    </row>
    <row r="28" spans="1:20" s="184" customFormat="1" x14ac:dyDescent="0.25">
      <c r="B28" s="162" t="s">
        <v>200</v>
      </c>
      <c r="C28" s="163" t="s">
        <v>201</v>
      </c>
      <c r="D28" s="160" t="s">
        <v>136</v>
      </c>
      <c r="E28" s="158"/>
      <c r="F28" s="163" t="s">
        <v>159</v>
      </c>
      <c r="G28" s="155">
        <f>'Data Summary'!T19</f>
        <v>-26.6</v>
      </c>
      <c r="H28" s="161"/>
      <c r="T28" s="160" t="str">
        <f t="shared" si="1"/>
        <v>19082743</v>
      </c>
    </row>
    <row r="29" spans="1:20" s="184" customFormat="1" x14ac:dyDescent="0.25">
      <c r="B29" s="162" t="s">
        <v>202</v>
      </c>
      <c r="C29" s="163" t="s">
        <v>203</v>
      </c>
      <c r="D29" s="160" t="s">
        <v>136</v>
      </c>
      <c r="E29" s="158"/>
      <c r="F29" s="163" t="s">
        <v>159</v>
      </c>
      <c r="G29" s="155">
        <f>'Data Summary'!U19</f>
        <v>-28.1</v>
      </c>
      <c r="H29" s="161"/>
      <c r="T29" s="160" t="str">
        <f t="shared" si="1"/>
        <v>19082743</v>
      </c>
    </row>
    <row r="30" spans="1:20" x14ac:dyDescent="0.25">
      <c r="B30" s="162" t="s">
        <v>193</v>
      </c>
      <c r="C30" s="163" t="s">
        <v>194</v>
      </c>
      <c r="D30" s="160" t="s">
        <v>136</v>
      </c>
      <c r="E30" s="158"/>
      <c r="F30" s="163" t="s">
        <v>195</v>
      </c>
      <c r="G30" s="164">
        <f>'Data Summary'!AG12</f>
        <v>1240.7102874094126</v>
      </c>
      <c r="H30" s="161"/>
      <c r="T30" s="160" t="str">
        <f t="shared" si="1"/>
        <v>19082743</v>
      </c>
    </row>
    <row r="31" spans="1:20" x14ac:dyDescent="0.25">
      <c r="B31" s="162" t="s">
        <v>196</v>
      </c>
      <c r="C31" s="163" t="s">
        <v>197</v>
      </c>
      <c r="D31" s="160" t="s">
        <v>136</v>
      </c>
      <c r="E31" s="158"/>
      <c r="F31" s="163" t="s">
        <v>217</v>
      </c>
      <c r="G31" s="169">
        <f>'Data Summary'!AF19</f>
        <v>0.71627536377377099</v>
      </c>
      <c r="H31" s="161"/>
      <c r="T31" s="160" t="str">
        <f t="shared" si="1"/>
        <v>19082743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tabSelected="1" zoomScale="55" zoomScaleNormal="55" workbookViewId="0">
      <selection activeCell="E47" sqref="E47"/>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tr">
        <f>Cover!D23</f>
        <v>Great Western Oil and Gas</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431833</v>
      </c>
      <c r="C4" s="107">
        <f>'Data Summary'!E13+'Data Summary'!F13</f>
        <v>43705.477083333331</v>
      </c>
      <c r="D4" s="151"/>
      <c r="E4" s="102" t="str">
        <f>'Data Summary'!B13</f>
        <v>DIG-020259</v>
      </c>
      <c r="F4" s="157" t="s">
        <v>192</v>
      </c>
      <c r="G4" s="100" t="s">
        <v>98</v>
      </c>
      <c r="I4" s="100"/>
      <c r="K4" s="156">
        <f>'EDD 1'!K4</f>
        <v>43705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tr">
        <f>Cover!D21</f>
        <v>19082743</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f>IF('Data Summary'!L13="nd",'EDD 2'!P8,ROUND((100*'Data Summary'!L13/SUM('Data Summary'!$K$13:$X$13)),3))</f>
        <v>0.16700000000000001</v>
      </c>
      <c r="H8" s="161" t="str">
        <f t="shared" ref="H8:H21" si="0">IF(G8=0.005,"ND","")</f>
        <v/>
      </c>
      <c r="I8" s="103"/>
      <c r="J8" s="103"/>
      <c r="K8" s="103"/>
      <c r="L8" s="103"/>
      <c r="M8" s="103"/>
      <c r="N8" s="103"/>
      <c r="O8" s="103"/>
      <c r="P8" s="105">
        <v>5.0000000000000001E-3</v>
      </c>
      <c r="Q8" s="105">
        <v>5.0000000000000001E-3</v>
      </c>
      <c r="R8" s="105">
        <v>5.0000000000000001E-3</v>
      </c>
      <c r="S8" s="103"/>
      <c r="T8" s="101" t="str">
        <f>$C$6</f>
        <v>19082743</v>
      </c>
    </row>
    <row r="9" spans="1:20" x14ac:dyDescent="0.25">
      <c r="A9" s="103"/>
      <c r="B9" s="101" t="s">
        <v>138</v>
      </c>
      <c r="C9" s="101" t="s">
        <v>139</v>
      </c>
      <c r="D9" s="101" t="s">
        <v>136</v>
      </c>
      <c r="E9" s="103"/>
      <c r="F9" s="101" t="s">
        <v>137</v>
      </c>
      <c r="G9" s="152">
        <f>IF('Data Summary'!M13="nd",'EDD 2'!P9,ROUND((100*'Data Summary'!M13/SUM('Data Summary'!$K$13:$X$13)),3))</f>
        <v>2.0169999999999999</v>
      </c>
      <c r="H9" s="161" t="str">
        <f t="shared" si="0"/>
        <v/>
      </c>
      <c r="I9" s="103"/>
      <c r="J9" s="103"/>
      <c r="K9" s="103"/>
      <c r="L9" s="103"/>
      <c r="M9" s="103"/>
      <c r="N9" s="103"/>
      <c r="O9" s="103"/>
      <c r="P9" s="105">
        <v>5.0000000000000001E-3</v>
      </c>
      <c r="Q9" s="105">
        <v>5.0000000000000001E-3</v>
      </c>
      <c r="R9" s="105">
        <v>5.0000000000000001E-3</v>
      </c>
      <c r="S9" s="103"/>
      <c r="T9" s="101" t="str">
        <f t="shared" ref="T9:T32" si="1">$C$6</f>
        <v>19082743</v>
      </c>
    </row>
    <row r="10" spans="1:20" x14ac:dyDescent="0.25">
      <c r="A10" s="103"/>
      <c r="B10" s="101" t="s">
        <v>140</v>
      </c>
      <c r="C10" s="101" t="s">
        <v>141</v>
      </c>
      <c r="D10" s="101" t="s">
        <v>136</v>
      </c>
      <c r="E10" s="103"/>
      <c r="F10" s="101" t="s">
        <v>137</v>
      </c>
      <c r="G10" s="152">
        <f>IF('Data Summary'!K13="nd",'EDD 2'!P10,ROUND((100*'Data Summary'!K13/SUM('Data Summary'!$K$13:$X$13)),3))</f>
        <v>1.1779999999999999</v>
      </c>
      <c r="H10" s="161" t="str">
        <f t="shared" si="0"/>
        <v/>
      </c>
      <c r="I10" s="103"/>
      <c r="J10" s="103"/>
      <c r="K10" s="103"/>
      <c r="L10" s="103"/>
      <c r="M10" s="103"/>
      <c r="N10" s="103"/>
      <c r="O10" s="103"/>
      <c r="P10" s="105">
        <v>5.0000000000000001E-3</v>
      </c>
      <c r="Q10" s="105">
        <v>5.0000000000000001E-3</v>
      </c>
      <c r="R10" s="105">
        <v>5.0000000000000001E-3</v>
      </c>
      <c r="S10" s="103"/>
      <c r="T10" s="101" t="str">
        <f t="shared" si="1"/>
        <v>19082743</v>
      </c>
    </row>
    <row r="11" spans="1:20" x14ac:dyDescent="0.25">
      <c r="A11" s="103"/>
      <c r="B11" s="148" t="s">
        <v>186</v>
      </c>
      <c r="C11" s="148" t="s">
        <v>187</v>
      </c>
      <c r="D11" s="148" t="s">
        <v>136</v>
      </c>
      <c r="E11" s="149"/>
      <c r="F11" s="148" t="s">
        <v>137</v>
      </c>
      <c r="G11" s="152">
        <f>IF('Data Summary'!W13="nd",'EDD 2'!P11,ROUND((100*'Data Summary'!W13/SUM('Data Summary'!$K$13:$X$13)),3))</f>
        <v>0.01</v>
      </c>
      <c r="H11" s="161" t="str">
        <f t="shared" si="0"/>
        <v/>
      </c>
      <c r="P11" s="105">
        <v>5.0000000000000001E-3</v>
      </c>
      <c r="Q11" s="105">
        <v>5.0000000000000001E-3</v>
      </c>
      <c r="R11" s="105">
        <v>5.0000000000000001E-3</v>
      </c>
      <c r="S11" s="103"/>
      <c r="T11" s="101" t="str">
        <f t="shared" si="1"/>
        <v>19082743</v>
      </c>
    </row>
    <row r="12" spans="1:20" x14ac:dyDescent="0.25">
      <c r="A12" s="103"/>
      <c r="B12" s="148" t="s">
        <v>188</v>
      </c>
      <c r="C12" s="148" t="s">
        <v>189</v>
      </c>
      <c r="D12" s="148" t="s">
        <v>136</v>
      </c>
      <c r="E12" s="149"/>
      <c r="F12" s="148" t="s">
        <v>137</v>
      </c>
      <c r="G12" s="152">
        <f>IF('Data Summary'!X13="nd",'EDD 2'!P12,ROUND((100*'Data Summary'!X13/SUM('Data Summary'!$K$13:$X$13)),3))</f>
        <v>7.2999999999999995E-2</v>
      </c>
      <c r="H12" s="161" t="str">
        <f t="shared" si="0"/>
        <v/>
      </c>
      <c r="P12" s="105">
        <v>5.0000000000000001E-3</v>
      </c>
      <c r="Q12" s="105">
        <v>5.0000000000000001E-3</v>
      </c>
      <c r="R12" s="105">
        <v>5.0000000000000001E-3</v>
      </c>
      <c r="S12" s="103"/>
      <c r="T12" s="101" t="str">
        <f t="shared" si="1"/>
        <v>19082743</v>
      </c>
    </row>
    <row r="13" spans="1:20" x14ac:dyDescent="0.25">
      <c r="A13" s="103"/>
      <c r="B13" s="101" t="s">
        <v>142</v>
      </c>
      <c r="C13" s="101" t="s">
        <v>143</v>
      </c>
      <c r="D13" s="101" t="s">
        <v>136</v>
      </c>
      <c r="E13" s="103"/>
      <c r="F13" s="101" t="s">
        <v>137</v>
      </c>
      <c r="G13" s="152">
        <f>IF('Data Summary'!N13="nd",'EDD 2'!P13,ROUND((100*'Data Summary'!N13/SUM('Data Summary'!$K$13:$X$13)),3))</f>
        <v>73.947999999999993</v>
      </c>
      <c r="H13" s="161" t="str">
        <f t="shared" si="0"/>
        <v/>
      </c>
      <c r="I13" s="103"/>
      <c r="J13" s="103"/>
      <c r="K13" s="103"/>
      <c r="L13" s="103"/>
      <c r="M13" s="103"/>
      <c r="N13" s="103"/>
      <c r="O13" s="103"/>
      <c r="P13" s="105">
        <v>5.0000000000000001E-3</v>
      </c>
      <c r="Q13" s="105">
        <v>5.0000000000000001E-3</v>
      </c>
      <c r="R13" s="105">
        <v>5.0000000000000001E-3</v>
      </c>
      <c r="S13" s="103"/>
      <c r="T13" s="101" t="str">
        <f t="shared" si="1"/>
        <v>19082743</v>
      </c>
    </row>
    <row r="14" spans="1:20" x14ac:dyDescent="0.25">
      <c r="A14" s="103"/>
      <c r="B14" s="101" t="s">
        <v>144</v>
      </c>
      <c r="C14" s="101" t="s">
        <v>145</v>
      </c>
      <c r="D14" s="101" t="s">
        <v>136</v>
      </c>
      <c r="E14" s="103"/>
      <c r="F14" s="101" t="s">
        <v>137</v>
      </c>
      <c r="G14" s="152">
        <f>IF('Data Summary'!O13="nd",'EDD 2'!P14,ROUND((100*'Data Summary'!O13/SUM('Data Summary'!$K$13:$X$13)),3))</f>
        <v>13.228</v>
      </c>
      <c r="H14" s="161" t="str">
        <f t="shared" si="0"/>
        <v/>
      </c>
      <c r="I14" s="103"/>
      <c r="J14" s="103"/>
      <c r="K14" s="103"/>
      <c r="L14" s="103"/>
      <c r="M14" s="103"/>
      <c r="N14" s="103"/>
      <c r="O14" s="103"/>
      <c r="P14" s="105">
        <v>5.0000000000000001E-3</v>
      </c>
      <c r="Q14" s="105">
        <v>5.0000000000000001E-3</v>
      </c>
      <c r="R14" s="105">
        <v>5.0000000000000001E-3</v>
      </c>
      <c r="S14" s="103"/>
      <c r="T14" s="101" t="str">
        <f t="shared" si="1"/>
        <v>19082743</v>
      </c>
    </row>
    <row r="15" spans="1:20" x14ac:dyDescent="0.25">
      <c r="A15" s="103"/>
      <c r="B15" s="150" t="s">
        <v>190</v>
      </c>
      <c r="C15" s="150" t="s">
        <v>191</v>
      </c>
      <c r="D15" s="150" t="s">
        <v>136</v>
      </c>
      <c r="E15" s="151"/>
      <c r="F15" s="150" t="s">
        <v>137</v>
      </c>
      <c r="G15" s="152">
        <f>IF('Data Summary'!V13="nd",'EDD 2'!P15,ROUND((100*'Data Summary'!V13/SUM('Data Summary'!$K$13:$X$13)),3))</f>
        <v>5.0000000000000001E-3</v>
      </c>
      <c r="H15" s="152" t="str">
        <f t="shared" si="0"/>
        <v>ND</v>
      </c>
      <c r="P15" s="105">
        <v>5.0000000000000001E-3</v>
      </c>
      <c r="Q15" s="105">
        <v>5.0000000000000001E-3</v>
      </c>
      <c r="R15" s="105">
        <v>5.0000000000000001E-3</v>
      </c>
      <c r="S15" s="103"/>
      <c r="T15" s="101" t="str">
        <f t="shared" si="1"/>
        <v>19082743</v>
      </c>
    </row>
    <row r="16" spans="1:20" x14ac:dyDescent="0.25">
      <c r="A16" s="103"/>
      <c r="B16" s="101" t="s">
        <v>146</v>
      </c>
      <c r="C16" s="101" t="s">
        <v>147</v>
      </c>
      <c r="D16" s="101" t="s">
        <v>136</v>
      </c>
      <c r="E16" s="103"/>
      <c r="F16" s="101" t="s">
        <v>137</v>
      </c>
      <c r="G16" s="152">
        <f>IF('Data Summary'!P13="nd",'EDD 2'!P16,ROUND((100*'Data Summary'!P13/SUM('Data Summary'!$K$13:$X$13)),3))</f>
        <v>6.1189999999999998</v>
      </c>
      <c r="H16" s="161" t="str">
        <f t="shared" si="0"/>
        <v/>
      </c>
      <c r="I16" s="103"/>
      <c r="J16" s="103"/>
      <c r="K16" s="103"/>
      <c r="L16" s="103"/>
      <c r="M16" s="103"/>
      <c r="N16" s="103"/>
      <c r="O16" s="103"/>
      <c r="P16" s="105">
        <v>5.0000000000000001E-3</v>
      </c>
      <c r="Q16" s="105">
        <v>5.0000000000000001E-3</v>
      </c>
      <c r="R16" s="105">
        <v>5.0000000000000001E-3</v>
      </c>
      <c r="S16" s="103"/>
      <c r="T16" s="101" t="str">
        <f t="shared" si="1"/>
        <v>19082743</v>
      </c>
    </row>
    <row r="17" spans="1:20" x14ac:dyDescent="0.25">
      <c r="A17" s="103"/>
      <c r="B17" s="101" t="s">
        <v>148</v>
      </c>
      <c r="C17" s="101" t="s">
        <v>149</v>
      </c>
      <c r="D17" s="101" t="s">
        <v>136</v>
      </c>
      <c r="E17" s="103"/>
      <c r="F17" s="101" t="s">
        <v>137</v>
      </c>
      <c r="G17" s="152">
        <f>IF('Data Summary'!Q13="nd",'EDD 2'!P17,ROUND((100*'Data Summary'!Q13/SUM('Data Summary'!$K$13:$X$13)),3))</f>
        <v>0.80500000000000005</v>
      </c>
      <c r="H17" s="161" t="str">
        <f t="shared" si="0"/>
        <v/>
      </c>
      <c r="I17" s="103"/>
      <c r="J17" s="103"/>
      <c r="K17" s="103"/>
      <c r="M17" s="103"/>
      <c r="N17" s="103"/>
      <c r="O17" s="103"/>
      <c r="P17" s="105">
        <v>5.0000000000000001E-3</v>
      </c>
      <c r="Q17" s="105">
        <v>5.0000000000000001E-3</v>
      </c>
      <c r="R17" s="105">
        <v>5.0000000000000001E-3</v>
      </c>
      <c r="S17" s="103"/>
      <c r="T17" s="101" t="str">
        <f t="shared" si="1"/>
        <v>19082743</v>
      </c>
    </row>
    <row r="18" spans="1:20" x14ac:dyDescent="0.25">
      <c r="A18" s="103"/>
      <c r="B18" s="101" t="s">
        <v>150</v>
      </c>
      <c r="C18" s="101" t="s">
        <v>151</v>
      </c>
      <c r="D18" s="101" t="s">
        <v>136</v>
      </c>
      <c r="E18" s="103"/>
      <c r="F18" s="101" t="s">
        <v>137</v>
      </c>
      <c r="G18" s="152">
        <f>IF('Data Summary'!R13="nd",'EDD 2'!P18,ROUND((100*'Data Summary'!R13/SUM('Data Summary'!$K$13:$X$13)),3))</f>
        <v>1.7929999999999999</v>
      </c>
      <c r="H18" s="161" t="str">
        <f t="shared" si="0"/>
        <v/>
      </c>
      <c r="I18" s="103"/>
      <c r="J18" s="103"/>
      <c r="K18" s="103"/>
      <c r="M18" s="103"/>
      <c r="N18" s="103"/>
      <c r="O18" s="103"/>
      <c r="P18" s="105">
        <v>5.0000000000000001E-3</v>
      </c>
      <c r="Q18" s="105">
        <v>5.0000000000000001E-3</v>
      </c>
      <c r="R18" s="105">
        <v>5.0000000000000001E-3</v>
      </c>
      <c r="S18" s="103"/>
      <c r="T18" s="101" t="str">
        <f t="shared" si="1"/>
        <v>19082743</v>
      </c>
    </row>
    <row r="19" spans="1:20" x14ac:dyDescent="0.25">
      <c r="A19" s="103"/>
      <c r="B19" s="101" t="s">
        <v>77</v>
      </c>
      <c r="C19" s="101" t="s">
        <v>152</v>
      </c>
      <c r="D19" s="101" t="s">
        <v>136</v>
      </c>
      <c r="E19" s="103"/>
      <c r="F19" s="101" t="s">
        <v>137</v>
      </c>
      <c r="G19" s="152">
        <f>IF('Data Summary'!S13="nd",'EDD 2'!P19,ROUND((100*'Data Summary'!S13/SUM('Data Summary'!$K$13:$X$13)),3))</f>
        <v>0.35199999999999998</v>
      </c>
      <c r="H19" s="161" t="str">
        <f t="shared" si="0"/>
        <v/>
      </c>
      <c r="I19" s="103"/>
      <c r="J19" s="103"/>
      <c r="K19" s="103"/>
      <c r="L19" s="103"/>
      <c r="M19" s="103"/>
      <c r="N19" s="103"/>
      <c r="O19" s="103"/>
      <c r="P19" s="105">
        <v>5.0000000000000001E-3</v>
      </c>
      <c r="Q19" s="105">
        <v>5.0000000000000001E-3</v>
      </c>
      <c r="R19" s="105">
        <v>5.0000000000000001E-3</v>
      </c>
      <c r="S19" s="103"/>
      <c r="T19" s="101" t="str">
        <f t="shared" si="1"/>
        <v>19082743</v>
      </c>
    </row>
    <row r="20" spans="1:20" x14ac:dyDescent="0.25">
      <c r="A20" s="103"/>
      <c r="B20" s="101" t="s">
        <v>153</v>
      </c>
      <c r="C20" s="101" t="s">
        <v>154</v>
      </c>
      <c r="D20" s="101" t="s">
        <v>136</v>
      </c>
      <c r="E20" s="103"/>
      <c r="F20" s="101" t="s">
        <v>137</v>
      </c>
      <c r="G20" s="152">
        <f>IF('Data Summary'!T13="nd",'EDD 2'!P20,ROUND((100*'Data Summary'!T13/SUM('Data Summary'!$K$13:$X$13)),3))</f>
        <v>0.28699999999999998</v>
      </c>
      <c r="H20" s="161" t="str">
        <f t="shared" si="0"/>
        <v/>
      </c>
      <c r="I20" s="103"/>
      <c r="J20" s="103"/>
      <c r="K20" s="103"/>
      <c r="L20" s="103"/>
      <c r="M20" s="103"/>
      <c r="N20" s="103"/>
      <c r="O20" s="103"/>
      <c r="P20" s="105">
        <v>5.0000000000000001E-3</v>
      </c>
      <c r="Q20" s="105">
        <v>5.0000000000000001E-3</v>
      </c>
      <c r="R20" s="105">
        <v>5.0000000000000001E-3</v>
      </c>
      <c r="S20" s="103"/>
      <c r="T20" s="101" t="str">
        <f t="shared" si="1"/>
        <v>19082743</v>
      </c>
    </row>
    <row r="21" spans="1:20" x14ac:dyDescent="0.25">
      <c r="A21"/>
      <c r="B21" s="101" t="s">
        <v>155</v>
      </c>
      <c r="C21" s="101" t="s">
        <v>156</v>
      </c>
      <c r="D21" s="101" t="s">
        <v>136</v>
      </c>
      <c r="E21" s="103"/>
      <c r="F21" s="101" t="s">
        <v>137</v>
      </c>
      <c r="G21" s="152">
        <f>IF('Data Summary'!U13="nd",'EDD 2'!P21,ROUND((100*'Data Summary'!U13/SUM('Data Summary'!$K$13:$X$13)),3))</f>
        <v>2.3E-2</v>
      </c>
      <c r="H21" s="161" t="str">
        <f t="shared" si="0"/>
        <v/>
      </c>
      <c r="I21" s="108"/>
      <c r="J21" s="103"/>
      <c r="K21" s="103"/>
      <c r="M21" s="103"/>
      <c r="N21" s="103"/>
      <c r="O21" s="103"/>
      <c r="P21" s="105">
        <v>5.0000000000000001E-3</v>
      </c>
      <c r="Q21" s="105">
        <v>5.0000000000000001E-3</v>
      </c>
      <c r="R21" s="105">
        <v>5.0000000000000001E-3</v>
      </c>
      <c r="S21" s="103"/>
      <c r="T21" s="160" t="str">
        <f t="shared" si="1"/>
        <v>19082743</v>
      </c>
    </row>
    <row r="22" spans="1:20" s="184" customFormat="1" x14ac:dyDescent="0.25">
      <c r="A22" s="158"/>
      <c r="B22" s="162" t="s">
        <v>157</v>
      </c>
      <c r="C22" s="162" t="s">
        <v>158</v>
      </c>
      <c r="D22" s="160" t="s">
        <v>136</v>
      </c>
      <c r="E22" s="151"/>
      <c r="F22" s="163" t="s">
        <v>159</v>
      </c>
      <c r="G22" s="155">
        <f>'Data Summary'!O20</f>
        <v>-48.1</v>
      </c>
      <c r="H22" s="161"/>
      <c r="I22" s="108"/>
      <c r="J22" s="151"/>
      <c r="K22" s="151"/>
      <c r="M22" s="151"/>
      <c r="N22" s="151"/>
      <c r="O22" s="151"/>
      <c r="P22" s="105"/>
      <c r="Q22" s="105"/>
      <c r="R22" s="105"/>
      <c r="S22" s="151"/>
      <c r="T22" s="160" t="str">
        <f t="shared" si="1"/>
        <v>19082743</v>
      </c>
    </row>
    <row r="23" spans="1:20" s="184" customFormat="1" x14ac:dyDescent="0.25">
      <c r="A23" s="158"/>
      <c r="B23" s="162" t="s">
        <v>160</v>
      </c>
      <c r="C23" s="162" t="s">
        <v>161</v>
      </c>
      <c r="D23" s="160" t="s">
        <v>136</v>
      </c>
      <c r="E23" s="151"/>
      <c r="F23" s="163" t="s">
        <v>159</v>
      </c>
      <c r="G23" s="164">
        <f>'Data Summary'!W20</f>
        <v>-259</v>
      </c>
      <c r="H23" s="161"/>
      <c r="I23" s="108"/>
      <c r="J23" s="151"/>
      <c r="K23" s="151"/>
      <c r="M23" s="151"/>
      <c r="N23" s="151"/>
      <c r="O23" s="151"/>
      <c r="P23" s="105"/>
      <c r="Q23" s="105"/>
      <c r="R23" s="105"/>
      <c r="S23" s="151"/>
      <c r="T23" s="160" t="str">
        <f t="shared" si="1"/>
        <v>19082743</v>
      </c>
    </row>
    <row r="24" spans="1:20" s="184" customFormat="1" x14ac:dyDescent="0.25">
      <c r="A24" s="158"/>
      <c r="B24" s="162" t="s">
        <v>162</v>
      </c>
      <c r="C24" s="163" t="s">
        <v>163</v>
      </c>
      <c r="D24" s="160" t="s">
        <v>136</v>
      </c>
      <c r="E24" s="158"/>
      <c r="F24" s="163" t="s">
        <v>159</v>
      </c>
      <c r="G24" s="155">
        <f>'Data Summary'!P20</f>
        <v>-32.9</v>
      </c>
      <c r="H24" s="161"/>
      <c r="I24" s="108"/>
      <c r="J24" s="151"/>
      <c r="K24" s="151"/>
      <c r="M24" s="151"/>
      <c r="N24" s="151"/>
      <c r="O24" s="151"/>
      <c r="P24" s="105"/>
      <c r="Q24" s="105"/>
      <c r="R24" s="105"/>
      <c r="S24" s="151"/>
      <c r="T24" s="160" t="str">
        <f t="shared" si="1"/>
        <v>19082743</v>
      </c>
    </row>
    <row r="25" spans="1:20" s="184" customFormat="1" x14ac:dyDescent="0.25">
      <c r="A25" s="158"/>
      <c r="B25" s="162" t="s">
        <v>164</v>
      </c>
      <c r="C25" s="163" t="s">
        <v>165</v>
      </c>
      <c r="D25" s="160" t="s">
        <v>136</v>
      </c>
      <c r="E25" s="158"/>
      <c r="F25" s="163" t="s">
        <v>159</v>
      </c>
      <c r="G25" s="155">
        <f>'Data Summary'!Q20</f>
        <v>-28.9</v>
      </c>
      <c r="H25" s="161"/>
      <c r="I25" s="108"/>
      <c r="J25" s="151"/>
      <c r="K25" s="151"/>
      <c r="M25" s="151"/>
      <c r="N25" s="151"/>
      <c r="O25" s="151"/>
      <c r="P25" s="105"/>
      <c r="Q25" s="105"/>
      <c r="R25" s="105"/>
      <c r="S25" s="151"/>
      <c r="T25" s="160" t="str">
        <f t="shared" si="1"/>
        <v>19082743</v>
      </c>
    </row>
    <row r="26" spans="1:20" s="184" customFormat="1" x14ac:dyDescent="0.25">
      <c r="A26" s="158"/>
      <c r="B26" s="162" t="s">
        <v>166</v>
      </c>
      <c r="C26" s="163" t="s">
        <v>167</v>
      </c>
      <c r="D26" s="160" t="s">
        <v>136</v>
      </c>
      <c r="E26" s="158"/>
      <c r="F26" s="163" t="s">
        <v>159</v>
      </c>
      <c r="G26" s="155">
        <f>'Data Summary'!R20</f>
        <v>-30.6</v>
      </c>
      <c r="H26" s="161"/>
      <c r="I26" s="108"/>
      <c r="J26" s="151"/>
      <c r="K26" s="151"/>
      <c r="M26" s="151"/>
      <c r="N26" s="151"/>
      <c r="O26" s="151"/>
      <c r="P26" s="105"/>
      <c r="Q26" s="105"/>
      <c r="R26" s="105"/>
      <c r="S26" s="151"/>
      <c r="T26" s="160" t="str">
        <f t="shared" si="1"/>
        <v>19082743</v>
      </c>
    </row>
    <row r="27" spans="1:20" s="184" customFormat="1" x14ac:dyDescent="0.25">
      <c r="A27" s="158"/>
      <c r="B27" s="162" t="s">
        <v>168</v>
      </c>
      <c r="C27" s="163" t="s">
        <v>169</v>
      </c>
      <c r="D27" s="160" t="s">
        <v>136</v>
      </c>
      <c r="E27" s="158"/>
      <c r="F27" s="163" t="s">
        <v>159</v>
      </c>
      <c r="G27" s="155">
        <f>'Data Summary'!S20</f>
        <v>-27.9</v>
      </c>
      <c r="H27" s="161"/>
      <c r="I27" s="108"/>
      <c r="J27" s="151"/>
      <c r="K27" s="151"/>
      <c r="M27" s="151"/>
      <c r="N27" s="151"/>
      <c r="O27" s="151"/>
      <c r="P27" s="105"/>
      <c r="Q27" s="105"/>
      <c r="R27" s="105"/>
      <c r="S27" s="151"/>
      <c r="T27" s="160" t="str">
        <f t="shared" si="1"/>
        <v>19082743</v>
      </c>
    </row>
    <row r="28" spans="1:20" s="184" customFormat="1" x14ac:dyDescent="0.25">
      <c r="A28" s="158"/>
      <c r="B28" s="162" t="s">
        <v>200</v>
      </c>
      <c r="C28" s="163" t="s">
        <v>201</v>
      </c>
      <c r="D28" s="160" t="s">
        <v>136</v>
      </c>
      <c r="E28" s="158"/>
      <c r="F28" s="163" t="s">
        <v>159</v>
      </c>
      <c r="G28" s="155">
        <f>'Data Summary'!T20</f>
        <v>-26.2</v>
      </c>
      <c r="H28" s="161"/>
      <c r="I28" s="108"/>
      <c r="J28" s="151"/>
      <c r="K28" s="151"/>
      <c r="M28" s="151"/>
      <c r="N28" s="151"/>
      <c r="O28" s="151"/>
      <c r="P28" s="105"/>
      <c r="Q28" s="105"/>
      <c r="R28" s="105"/>
      <c r="S28" s="151"/>
      <c r="T28" s="160" t="str">
        <f t="shared" si="1"/>
        <v>19082743</v>
      </c>
    </row>
    <row r="29" spans="1:20" s="184" customFormat="1" x14ac:dyDescent="0.25">
      <c r="A29" s="158"/>
      <c r="B29" s="162" t="s">
        <v>202</v>
      </c>
      <c r="C29" s="163" t="s">
        <v>203</v>
      </c>
      <c r="D29" s="160" t="s">
        <v>136</v>
      </c>
      <c r="E29" s="158"/>
      <c r="F29" s="163" t="s">
        <v>159</v>
      </c>
      <c r="G29" s="155">
        <f>'Data Summary'!U20</f>
        <v>-26.7</v>
      </c>
      <c r="H29" s="161"/>
      <c r="I29" s="108"/>
      <c r="J29" s="151"/>
      <c r="K29" s="151"/>
      <c r="M29" s="151"/>
      <c r="N29" s="151"/>
      <c r="O29" s="151"/>
      <c r="P29" s="105"/>
      <c r="Q29" s="105"/>
      <c r="R29" s="105"/>
      <c r="S29" s="151"/>
      <c r="T29" s="160" t="str">
        <f t="shared" si="1"/>
        <v>19082743</v>
      </c>
    </row>
    <row r="30" spans="1:20" s="184" customFormat="1" x14ac:dyDescent="0.25">
      <c r="A30" s="158"/>
      <c r="B30" s="162" t="s">
        <v>204</v>
      </c>
      <c r="C30" s="163" t="s">
        <v>205</v>
      </c>
      <c r="D30" s="160" t="s">
        <v>136</v>
      </c>
      <c r="E30" s="158"/>
      <c r="F30" s="163" t="s">
        <v>159</v>
      </c>
      <c r="G30" s="155">
        <f>'Data Summary'!V20</f>
        <v>1.6</v>
      </c>
      <c r="H30" s="161"/>
      <c r="I30" s="108"/>
      <c r="J30" s="151"/>
      <c r="K30" s="151"/>
      <c r="M30" s="151"/>
      <c r="N30" s="151"/>
      <c r="O30" s="151"/>
      <c r="P30" s="105"/>
      <c r="Q30" s="105"/>
      <c r="R30" s="105"/>
      <c r="S30" s="151"/>
      <c r="T30" s="160" t="str">
        <f t="shared" si="1"/>
        <v>19082743</v>
      </c>
    </row>
    <row r="31" spans="1:20" x14ac:dyDescent="0.25">
      <c r="B31" s="162" t="s">
        <v>193</v>
      </c>
      <c r="C31" s="163" t="s">
        <v>194</v>
      </c>
      <c r="D31" s="160" t="s">
        <v>136</v>
      </c>
      <c r="E31" s="158"/>
      <c r="F31" s="163" t="s">
        <v>195</v>
      </c>
      <c r="G31" s="164">
        <f>'Data Summary'!AG13</f>
        <v>1247.3576158153755</v>
      </c>
      <c r="H31" s="161"/>
      <c r="T31" s="160" t="str">
        <f t="shared" si="1"/>
        <v>19082743</v>
      </c>
    </row>
    <row r="32" spans="1:20" x14ac:dyDescent="0.25">
      <c r="B32" s="162" t="s">
        <v>196</v>
      </c>
      <c r="C32" s="163" t="s">
        <v>197</v>
      </c>
      <c r="D32" s="160" t="s">
        <v>136</v>
      </c>
      <c r="E32" s="158"/>
      <c r="F32" s="163" t="s">
        <v>217</v>
      </c>
      <c r="G32" s="169">
        <f>'Data Summary'!AF20</f>
        <v>0.75323364516791691</v>
      </c>
      <c r="H32" s="161"/>
      <c r="T32" s="160" t="str">
        <f t="shared" si="1"/>
        <v>19082743</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2019-09-24T22:22:16Z</dcterms:modified>
</cp:coreProperties>
</file>