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codeName="ThisWorkbook" defaultThemeVersion="124226"/>
  <mc:AlternateContent xmlns:mc="http://schemas.openxmlformats.org/markup-compatibility/2006">
    <mc:Choice Requires="x15">
      <x15ac:absPath xmlns:x15ac="http://schemas.microsoft.com/office/spreadsheetml/2010/11/ac" url="S:\Operations\07 Well Info\Well Files\DJ Basin\Boulter\Boulter 0-2-27\4. Regulatory\"/>
    </mc:Choice>
  </mc:AlternateContent>
  <xr:revisionPtr revIDLastSave="0" documentId="13_ncr:1_{C9AE2479-F839-41E9-8FDE-6E89CA0F66F1}" xr6:coauthVersionLast="43" xr6:coauthVersionMax="43" xr10:uidLastSave="{00000000-0000-0000-0000-000000000000}"/>
  <bookViews>
    <workbookView xWindow="28680" yWindow="-120" windowWidth="29040" windowHeight="15840"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 name="_xlnm.Print_Area" localSheetId="3">'EDD 1'!$A$1:$T$22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4" i="26" l="1"/>
  <c r="G9" i="26" l="1"/>
  <c r="H9" i="26" l="1"/>
  <c r="G16" i="26"/>
  <c r="H16" i="26" s="1"/>
  <c r="G15" i="26"/>
  <c r="H15" i="26" s="1"/>
  <c r="C4" i="26" l="1"/>
  <c r="AG12" i="2" l="1"/>
  <c r="G30" i="26" s="1"/>
  <c r="G29" i="26"/>
  <c r="H29" i="26" s="1"/>
  <c r="G28" i="26"/>
  <c r="H28" i="26" s="1"/>
  <c r="G27" i="26"/>
  <c r="H27" i="26" s="1"/>
  <c r="G26" i="26"/>
  <c r="H26" i="26" s="1"/>
  <c r="G25" i="26"/>
  <c r="H25" i="26" s="1"/>
  <c r="G24" i="26"/>
  <c r="H24" i="26" s="1"/>
  <c r="G23" i="26"/>
  <c r="H23" i="26" s="1"/>
  <c r="G22" i="26"/>
  <c r="H22" i="26" s="1"/>
  <c r="G21" i="26"/>
  <c r="H21" i="26" s="1"/>
  <c r="G20" i="26"/>
  <c r="H20" i="26" s="1"/>
  <c r="G19" i="26"/>
  <c r="H19" i="26" s="1"/>
  <c r="G18" i="26"/>
  <c r="H18" i="26" s="1"/>
  <c r="G17" i="26"/>
  <c r="H17" i="26" s="1"/>
  <c r="G14" i="26"/>
  <c r="H14" i="26" s="1"/>
  <c r="G13" i="26"/>
  <c r="H13" i="26" s="1"/>
  <c r="G12" i="26"/>
  <c r="H12" i="26" s="1"/>
  <c r="G11" i="26"/>
  <c r="H11" i="26" s="1"/>
  <c r="G10" i="26"/>
  <c r="H10" i="26" s="1"/>
  <c r="G8" i="26"/>
  <c r="C12" i="2" l="1"/>
  <c r="Y12" i="2" l="1"/>
  <c r="H8" i="26" l="1"/>
  <c r="C6" i="26"/>
  <c r="T23" i="26" s="1"/>
  <c r="E2" i="26"/>
  <c r="T29" i="26" l="1"/>
  <c r="T31" i="26"/>
  <c r="T30" i="26"/>
  <c r="T9" i="26"/>
  <c r="T8" i="26"/>
  <c r="T13" i="26"/>
  <c r="T17" i="26"/>
  <c r="T20" i="26"/>
  <c r="T16" i="26"/>
  <c r="T12" i="26"/>
  <c r="T11" i="26"/>
  <c r="T15" i="26"/>
  <c r="T19" i="26"/>
  <c r="T22" i="26"/>
  <c r="T24" i="26"/>
  <c r="T26" i="26"/>
  <c r="T28" i="26"/>
  <c r="T10" i="26"/>
  <c r="T14" i="26"/>
  <c r="T18" i="26"/>
  <c r="T21" i="26"/>
  <c r="T25" i="26"/>
  <c r="T27" i="26"/>
  <c r="C4" i="2" l="1"/>
  <c r="C5" i="2"/>
  <c r="F18" i="2"/>
  <c r="E18" i="2"/>
  <c r="D18" i="2"/>
  <c r="C18" i="2"/>
  <c r="A18" i="2" l="1"/>
  <c r="AG18" i="2"/>
  <c r="AF18" i="2"/>
  <c r="G31" i="26" s="1"/>
  <c r="M18" i="2" l="1"/>
  <c r="J18" i="2" l="1"/>
  <c r="K18" i="2" s="1"/>
  <c r="Z12" i="2"/>
  <c r="AA12" i="2"/>
  <c r="AB12" i="2"/>
  <c r="AC12" i="2"/>
  <c r="AD12" i="2"/>
  <c r="AE12" i="2"/>
  <c r="AF12" i="2"/>
  <c r="AH12" i="2" l="1"/>
  <c r="L18" i="2"/>
  <c r="C6" i="2"/>
  <c r="B12" i="2" s="1"/>
  <c r="E4" i="26" l="1"/>
  <c r="B18" i="2"/>
</calcChain>
</file>

<file path=xl/sharedStrings.xml><?xml version="1.0" encoding="utf-8"?>
<sst xmlns="http://schemas.openxmlformats.org/spreadsheetml/2006/main" count="335" uniqueCount="211">
  <si>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</si>
  <si>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</si>
  <si>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</si>
  <si>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</si>
  <si>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</si>
  <si>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</si>
  <si>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</si>
  <si>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</si>
  <si>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</si>
  <si>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</si>
  <si>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</si>
  <si>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</si>
  <si>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</si>
  <si>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</si>
  <si>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</si>
  <si>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</si>
  <si>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</si>
  <si>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</si>
  <si>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</si>
  <si>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</si>
  <si>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</si>
  <si>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</si>
  <si>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</si>
  <si>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</si>
  <si>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</si>
  <si>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</si>
  <si>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</si>
  <si>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</si>
  <si>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</si>
  <si>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</si>
  <si>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</si>
  <si>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</si>
  <si>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</si>
  <si>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</si>
  <si>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</si>
  <si>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</si>
  <si>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</si>
  <si>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</si>
  <si>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</si>
  <si>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</si>
  <si>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</si>
  <si>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</si>
  <si>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</si>
  <si>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</si>
  <si>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</si>
  <si>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</si>
  <si>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</si>
  <si>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</si>
  <si>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</si>
  <si>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</si>
  <si>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</si>
  <si>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</si>
  <si>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</si>
  <si>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</si>
  <si>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</si>
  <si>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</si>
  <si>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</si>
  <si>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</si>
  <si>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</si>
  <si>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</si>
  <si>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</si>
  <si>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</si>
  <si>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</si>
  <si>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</si>
  <si>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</si>
  <si>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</si>
  <si>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</si>
  <si>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</si>
  <si>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</si>
  <si>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</si>
  <si>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</si>
  <si>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</si>
  <si>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</si>
  <si>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</si>
  <si>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</si>
  <si>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</si>
  <si>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</si>
  <si>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</si>
  <si>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</si>
  <si>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</si>
  <si>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</si>
  <si>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</si>
  <si>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</si>
  <si>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</si>
  <si>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</si>
  <si>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</si>
  <si>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</si>
  <si>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</si>
  <si>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</si>
  <si>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</si>
  <si>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</si>
  <si>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</si>
  <si>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</si>
  <si>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</si>
  <si>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</si>
  <si>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</si>
  <si>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</si>
  <si>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</si>
  <si>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</si>
  <si>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</si>
  <si>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</si>
  <si>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</si>
  <si>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</si>
  <si>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</si>
  <si>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</si>
  <si>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</si>
  <si>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</si>
  <si>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</si>
  <si>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</si>
  <si>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</si>
  <si>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</si>
  <si>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</si>
  <si>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</si>
  <si>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</si>
  <si>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</si>
  <si>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</si>
  <si>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</si>
  <si>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</si>
  <si>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</si>
  <si>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</si>
  <si>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</si>
  <si>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</si>
  <si>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</si>
  <si>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</si>
  <si>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</si>
  <si>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</si>
  <si>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</si>
  <si>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</si>
  <si>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</si>
  <si>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</si>
  <si>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</si>
  <si>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</si>
  <si>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</si>
  <si>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</si>
  <si>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</si>
  <si>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</si>
  <si>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</si>
  <si>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</si>
  <si>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</si>
  <si>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</si>
  <si>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</si>
  <si>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</si>
  <si>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</si>
  <si>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</si>
  <si>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</si>
  <si>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</si>
  <si>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</si>
  <si>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</si>
  <si>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</si>
  <si>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</si>
  <si>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</si>
  <si>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</si>
  <si>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</si>
  <si>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</si>
  <si>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</si>
  <si>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</si>
  <si>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</si>
  <si>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</si>
  <si>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</si>
  <si>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</si>
  <si>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</si>
  <si>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</si>
  <si>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</si>
  <si>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</si>
  <si>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</si>
  <si>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</si>
  <si>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</si>
  <si>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</si>
  <si>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</si>
  <si>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</si>
  <si>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</si>
  <si>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</si>
  <si>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</si>
  <si>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</si>
  <si>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</si>
  <si>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</si>
  <si>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</si>
  <si>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</si>
  <si>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</si>
  <si>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</si>
  <si>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</si>
  <si>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</si>
  <si>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</si>
  <si>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</si>
  <si>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</si>
  <si>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</si>
  <si>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</si>
  <si>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</si>
  <si>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</si>
  <si>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</si>
  <si>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</si>
  <si>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</si>
  <si>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</si>
  <si>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</si>
  <si>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</si>
  <si>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</si>
  <si>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</si>
  <si>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</si>
  <si>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</si>
  <si>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</si>
  <si>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</si>
  <si>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</si>
  <si>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19052239</t>
  </si>
  <si>
    <t>Great Western Oil and Gas</t>
  </si>
  <si>
    <t>Bradenhead</t>
  </si>
  <si>
    <t>DIG-019109</t>
  </si>
  <si>
    <t>Boulter 0-2-27</t>
  </si>
  <si>
    <t>No Unit</t>
  </si>
  <si>
    <t>BDH</t>
  </si>
  <si>
    <t>Low Signal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</si>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</sst>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h:mm;@"/>
    <numFmt numFmtId="167" formatCode="mm/dd/yy;@"/>
    <numFmt numFmtId="168" formatCode="m/d/yyyy;@"/>
    <numFmt numFmtId="169" formatCode="m/d/yy\ 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9"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7" fontId="33" fillId="0" borderId="29" xfId="0" applyNumberFormat="1"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8"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7" fontId="33" fillId="0" borderId="29" xfId="0" applyNumberFormat="1" applyFont="1" applyFill="1" applyBorder="1" applyAlignment="1">
      <alignment horizontal="center"/>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164" fontId="60" fillId="0" borderId="29" xfId="55" applyNumberFormat="1" applyFont="1" applyFill="1" applyBorder="1" applyAlignment="1">
      <alignment horizontal="center"/>
    </xf>
    <xf numFmtId="49" fontId="0" fillId="38" borderId="0" xfId="0" applyNumberFormat="1" applyFill="1" applyAlignment="1">
      <alignment horizontal="left"/>
    </xf>
    <xf numFmtId="0" fontId="0" fillId="38" borderId="0" xfId="0" applyFill="1" applyAlignment="1">
      <alignment horizontal="left"/>
    </xf>
    <xf numFmtId="164" fontId="34" fillId="0" borderId="29" xfId="0" applyNumberFormat="1" applyFont="1" applyBorder="1" applyAlignment="1">
      <alignment horizontal="center"/>
    </xf>
    <xf numFmtId="164" fontId="60" fillId="0" borderId="29" xfId="0" applyNumberFormat="1" applyFont="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Boulter 0-2-27</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-48.7</c:v>
                </c:pt>
                <c:pt idx="1">
                  <c:v>-32.200000000000003</c:v>
                </c:pt>
                <c:pt idx="2">
                  <c:v>-28</c:v>
                </c:pt>
                <c:pt idx="3">
                  <c:v>-29.4</c:v>
                </c:pt>
                <c:pt idx="4">
                  <c:v>-27.3</c:v>
                </c:pt>
                <c:pt idx="5">
                  <c:v>-26</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Boulter 0-2-27</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76.765341382174725</c:v>
                </c:pt>
                <c:pt idx="1">
                  <c:v>11.560852599737535</c:v>
                </c:pt>
                <c:pt idx="2">
                  <c:v>5.6959657902035099</c:v>
                </c:pt>
                <c:pt idx="3">
                  <c:v>0.89311984674650735</c:v>
                </c:pt>
                <c:pt idx="4">
                  <c:v>2.2157421502065633</c:v>
                </c:pt>
                <c:pt idx="5">
                  <c:v>0.85430997781697648</c:v>
                </c:pt>
                <c:pt idx="6">
                  <c:v>0.9576435329260683</c:v>
                </c:pt>
                <c:pt idx="7">
                  <c:v>1.0570247201881133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Boulter 0-2-27</c:v>
                </c:pt>
              </c:strCache>
            </c:strRef>
          </c:tx>
          <c:spPr>
            <a:ln w="28575">
              <a:noFill/>
            </a:ln>
          </c:spPr>
          <c:marker>
            <c:spPr>
              <a:ln>
                <a:solidFill>
                  <a:schemeClr val="tx1"/>
                </a:solidFill>
              </a:ln>
            </c:spPr>
          </c:marker>
          <c:xVal>
            <c:numRef>
              <c:f>'Data Summary'!$K$18</c:f>
              <c:numCache>
                <c:formatCode>0.0</c:formatCode>
                <c:ptCount val="1"/>
                <c:pt idx="0">
                  <c:v>23.234658617825271</c:v>
                </c:pt>
              </c:numCache>
            </c:numRef>
          </c:xVal>
          <c:yVal>
            <c:numRef>
              <c:f>'Data Summary'!$O$18</c:f>
              <c:numCache>
                <c:formatCode>0.0</c:formatCode>
                <c:ptCount val="1"/>
                <c:pt idx="0">
                  <c:v>-48.7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0"/>
          <c:order val="12"/>
          <c:tx>
            <c:strRef>
              <c:f>'Data Summary'!$C$18</c:f>
              <c:strCache>
                <c:ptCount val="1"/>
                <c:pt idx="0">
                  <c:v>Boulter 0-2-27</c:v>
                </c:pt>
              </c:strCache>
            </c:strRef>
          </c:tx>
          <c:spPr>
            <a:ln w="28575">
              <a:noFill/>
            </a:ln>
          </c:spPr>
          <c:marker>
            <c:symbol val="square"/>
            <c:size val="6"/>
            <c:spPr>
              <a:solidFill>
                <a:schemeClr val="accent2"/>
              </a:solidFill>
              <a:ln>
                <a:solidFill>
                  <a:schemeClr val="tx1"/>
                </a:solidFill>
              </a:ln>
            </c:spPr>
          </c:marker>
          <c:xVal>
            <c:numRef>
              <c:f>'Data Summary'!$P$18</c:f>
              <c:numCache>
                <c:formatCode>0.0</c:formatCode>
                <c:ptCount val="1"/>
                <c:pt idx="0">
                  <c:v>-32.200000000000003</c:v>
                </c:pt>
              </c:numCache>
            </c:numRef>
          </c:xVal>
          <c:yVal>
            <c:numRef>
              <c:f>'Data Summary'!$Q$18</c:f>
              <c:numCache>
                <c:formatCode>0.0</c:formatCode>
                <c:ptCount val="1"/>
                <c:pt idx="0">
                  <c:v>-28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486965184"/>
        <c:axId val="486965576"/>
        <c:extLst>
          <c:ext xmlns:c15="http://schemas.microsoft.com/office/drawing/2012/chart" uri="{02D57815-91ED-43cb-92C2-25804820EDAC}">
            <c15:filteredScatterSeries>
              <c15:ser>
                <c:idx val="1"/>
                <c:order val="11"/>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10-7475-43E1-B0C0-92B9E8AECB31}"/>
                  </c:ext>
                </c:extLst>
              </c15:ser>
            </c15:filteredScatterSeries>
          </c:ext>
        </c:extLst>
      </c:scatterChart>
      <c:valAx>
        <c:axId val="486965184"/>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576"/>
        <c:crossesAt val="-45"/>
        <c:crossBetween val="midCat"/>
      </c:valAx>
      <c:valAx>
        <c:axId val="486965576"/>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184"/>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Boulter 0-2-27</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8.3194888830747882</c:v>
                </c:pt>
              </c:numCache>
            </c:numRef>
          </c:xVal>
          <c:yVal>
            <c:numRef>
              <c:f>'Data Summary'!$K$18</c:f>
              <c:numCache>
                <c:formatCode>0.0</c:formatCode>
                <c:ptCount val="1"/>
                <c:pt idx="0">
                  <c:v>23.234658617825271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Boulter 0-2-27</c:v>
                </c:pt>
              </c:strCache>
            </c:strRef>
          </c:tx>
          <c:spPr>
            <a:ln w="28575">
              <a:noFill/>
            </a:ln>
          </c:spPr>
          <c:marker>
            <c:spPr>
              <a:ln>
                <a:solidFill>
                  <a:schemeClr val="tx1"/>
                </a:solidFill>
              </a:ln>
            </c:spPr>
          </c:marker>
          <c:xVal>
            <c:numRef>
              <c:f>'Data Summary'!$W$18</c:f>
              <c:numCache>
                <c:formatCode>0</c:formatCode>
                <c:ptCount val="1"/>
                <c:pt idx="0">
                  <c:v>-241</c:v>
                </c:pt>
              </c:numCache>
            </c:numRef>
          </c:xVal>
          <c:yVal>
            <c:numRef>
              <c:f>'Data Summary'!$O$18</c:f>
              <c:numCache>
                <c:formatCode>0.0</c:formatCode>
                <c:ptCount val="1"/>
                <c:pt idx="0">
                  <c:v>-48.7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Boulter 0-2-27</c:v>
                </c:pt>
              </c:strCache>
            </c:strRef>
          </c:tx>
          <c:spPr>
            <a:ln w="28575">
              <a:noFill/>
            </a:ln>
          </c:spPr>
          <c:marker>
            <c:spPr>
              <a:ln>
                <a:solidFill>
                  <a:schemeClr val="tx1"/>
                </a:solidFill>
              </a:ln>
            </c:spPr>
          </c:marker>
          <c:xVal>
            <c:numRef>
              <c:f>'Data Summary'!$O$18</c:f>
              <c:numCache>
                <c:formatCode>0.0</c:formatCode>
                <c:ptCount val="1"/>
                <c:pt idx="0">
                  <c:v>-48.7</c:v>
                </c:pt>
              </c:numCache>
            </c:numRef>
          </c:xVal>
          <c:yVal>
            <c:numRef>
              <c:f>'Data Summary'!$L$18</c:f>
              <c:numCache>
                <c:formatCode>0.0</c:formatCode>
                <c:ptCount val="1"/>
                <c:pt idx="0">
                  <c:v>4.4484064007372899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525311</xdr:colOff>
      <xdr:row>8</xdr:row>
      <xdr:rowOff>145676</xdr:rowOff>
    </xdr:to>
    <xdr:pic>
      <xdr:nvPicPr>
        <xdr:cNvPr id="7" name="Picture 6">
          <a:extLst>
            <a:ext uri="{FF2B5EF4-FFF2-40B4-BE49-F238E27FC236}">
              <a16:creationId xmlns:a16="http://schemas.microsoft.com/office/drawing/2014/main" id="{AFA24D89-8177-4FDE-BF71-82A26693C9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59361"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0.8518</cdr:x>
      <cdr:y>0.61907</cdr:y>
    </cdr:from>
    <cdr:to>
      <cdr:x>0.93513</cdr:x>
      <cdr:y>0.65032</cdr:y>
    </cdr:to>
    <cdr:sp macro="" textlink="">
      <cdr:nvSpPr>
        <cdr:cNvPr id="2" name="TextBox 1"/>
        <cdr:cNvSpPr txBox="1"/>
      </cdr:nvSpPr>
      <cdr:spPr>
        <a:xfrm xmlns:a="http://schemas.openxmlformats.org/drawingml/2006/main">
          <a:off x="3894452" y="3773876"/>
          <a:ext cx="380985"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0.33513</cdr:y>
    </cdr:from>
    <cdr:to>
      <cdr:x>0.57079</cdr:x>
      <cdr:y>0.38706</cdr:y>
    </cdr:to>
    <cdr:sp macro="" textlink="">
      <cdr:nvSpPr>
        <cdr:cNvPr id="5" name="TextBox 1"/>
        <cdr:cNvSpPr txBox="1"/>
      </cdr:nvSpPr>
      <cdr:spPr>
        <a:xfrm xmlns:a="http://schemas.openxmlformats.org/drawingml/2006/main">
          <a:off x="2184182" y="2042978"/>
          <a:ext cx="425470"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0.31644</cdr:x>
      <cdr:y>0.258</cdr:y>
    </cdr:from>
    <cdr:to>
      <cdr:x>0.4095</cdr:x>
      <cdr:y>0.30993</cdr:y>
    </cdr:to>
    <cdr:sp macro="" textlink="">
      <cdr:nvSpPr>
        <cdr:cNvPr id="6" name="TextBox 1"/>
        <cdr:cNvSpPr txBox="1"/>
      </cdr:nvSpPr>
      <cdr:spPr>
        <a:xfrm xmlns:a="http://schemas.openxmlformats.org/drawingml/2006/main">
          <a:off x="1446754" y="1572765"/>
          <a:ext cx="425470"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0.22888</cdr:x>
      <cdr:y>0.23956</cdr:y>
    </cdr:from>
    <cdr:to>
      <cdr:x>0.32194</cdr:x>
      <cdr:y>0.29149</cdr:y>
    </cdr:to>
    <cdr:sp macro="" textlink="">
      <cdr:nvSpPr>
        <cdr:cNvPr id="8" name="TextBox 1"/>
        <cdr:cNvSpPr txBox="1"/>
      </cdr:nvSpPr>
      <cdr:spPr>
        <a:xfrm xmlns:a="http://schemas.openxmlformats.org/drawingml/2006/main">
          <a:off x="1046434" y="1460333"/>
          <a:ext cx="425470"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0.17445</cdr:x>
      <cdr:y>0.23168</cdr:y>
    </cdr:from>
    <cdr:to>
      <cdr:x>0.26751</cdr:x>
      <cdr:y>0.28361</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797578" y="1412324"/>
          <a:ext cx="425471"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526</xdr:colOff>
      <xdr:row>37</xdr:row>
      <xdr:rowOff>49697</xdr:rowOff>
    </xdr:to>
    <xdr:pic>
      <xdr:nvPicPr>
        <xdr:cNvPr id="2" name="Picture 1">
          <a:extLst>
            <a:ext uri="{FF2B5EF4-FFF2-40B4-BE49-F238E27FC236}">
              <a16:creationId xmlns:a16="http://schemas.microsoft.com/office/drawing/2014/main" id="{0A29B5FA-4018-432D-9127-E3E515E315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16743" cy="7098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70" zoomScaleNormal="70" zoomScaleSheetLayoutView="70" zoomScalePageLayoutView="85" workbookViewId="0">
      <selection activeCell="B20" sqref="B20"/>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205</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206</v>
      </c>
      <c r="E24" s="43"/>
      <c r="F24" s="45"/>
      <c r="G24" s="37"/>
      <c r="H24" s="37"/>
      <c r="I24" s="37"/>
      <c r="J24" s="36"/>
    </row>
    <row r="25" spans="1:10" ht="15" customHeight="1" x14ac:dyDescent="0.25">
      <c r="A25" s="36"/>
      <c r="B25" s="46"/>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55" zoomScaleNormal="55" zoomScaleSheetLayoutView="70" zoomScalePageLayoutView="25" workbookViewId="0">
      <pane xSplit="2" ySplit="10" topLeftCell="C11" activePane="bottomRight" state="frozen"/>
      <selection pane="topRight" activeCell="C1" sqref="C1"/>
      <selection pane="bottomLeft" activeCell="A12" sqref="A12"/>
      <selection pane="bottomRight" activeCell="B6" sqref="B6"/>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Boulter 0-2-27</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19052239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DIG-019109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1" t="s">
        <v>173</v>
      </c>
      <c r="AH8" s="115"/>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6" t="s">
        <v>186</v>
      </c>
      <c r="W9" s="19" t="s">
        <v>52</v>
      </c>
      <c r="X9" s="20" t="s">
        <v>54</v>
      </c>
      <c r="Y9" s="60" t="s">
        <v>27</v>
      </c>
      <c r="Z9" s="19" t="s">
        <v>28</v>
      </c>
      <c r="AA9" s="19" t="s">
        <v>29</v>
      </c>
      <c r="AB9" s="19" t="s">
        <v>30</v>
      </c>
      <c r="AC9" s="19" t="s">
        <v>31</v>
      </c>
      <c r="AD9" s="19" t="s">
        <v>32</v>
      </c>
      <c r="AE9" s="19" t="s">
        <v>33</v>
      </c>
      <c r="AF9" s="116"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6" t="s">
        <v>5</v>
      </c>
      <c r="W10" s="19" t="s">
        <v>5</v>
      </c>
      <c r="X10" s="20" t="s">
        <v>5</v>
      </c>
      <c r="Y10" s="60" t="s">
        <v>8</v>
      </c>
      <c r="Z10" s="19" t="s">
        <v>8</v>
      </c>
      <c r="AA10" s="19" t="s">
        <v>8</v>
      </c>
      <c r="AB10" s="19" t="s">
        <v>8</v>
      </c>
      <c r="AC10" s="19" t="s">
        <v>8</v>
      </c>
      <c r="AD10" s="19" t="s">
        <v>8</v>
      </c>
      <c r="AE10" s="19" t="s">
        <v>8</v>
      </c>
      <c r="AF10" s="116" t="s">
        <v>8</v>
      </c>
      <c r="AG10" s="117" t="s">
        <v>176</v>
      </c>
      <c r="AH10" s="118"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6" t="s">
        <v>77</v>
      </c>
      <c r="W11" s="19"/>
      <c r="X11" s="20"/>
      <c r="Y11" s="19" t="s">
        <v>70</v>
      </c>
      <c r="Z11" s="19" t="s">
        <v>71</v>
      </c>
      <c r="AA11" s="19" t="s">
        <v>72</v>
      </c>
      <c r="AB11" s="19" t="s">
        <v>73</v>
      </c>
      <c r="AC11" s="19" t="s">
        <v>74</v>
      </c>
      <c r="AD11" s="19" t="s">
        <v>75</v>
      </c>
      <c r="AE11" s="19" t="s">
        <v>76</v>
      </c>
      <c r="AF11" s="19" t="s">
        <v>77</v>
      </c>
      <c r="AG11" s="122"/>
      <c r="AH11" s="123"/>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6" t="s">
        <v>202</v>
      </c>
      <c r="B12" s="152" t="str">
        <f>C6</f>
        <v>DIG-019109</v>
      </c>
      <c r="C12" s="152" t="str">
        <f>Cover!D24</f>
        <v>Boulter 0-2-27</v>
      </c>
      <c r="D12" s="145" t="s">
        <v>204</v>
      </c>
      <c r="E12" s="145">
        <v>43585</v>
      </c>
      <c r="F12" s="146">
        <v>0.45833333333333331</v>
      </c>
      <c r="G12" s="102"/>
      <c r="H12" s="102"/>
      <c r="I12" s="107"/>
      <c r="J12" s="148">
        <v>43588</v>
      </c>
      <c r="K12" s="147">
        <v>10378.5836373321</v>
      </c>
      <c r="L12" s="147">
        <v>516.54946985754896</v>
      </c>
      <c r="M12" s="147">
        <v>156.56734248125599</v>
      </c>
      <c r="N12" s="147">
        <v>767126.45995572803</v>
      </c>
      <c r="O12" s="147">
        <v>115529.16679878101</v>
      </c>
      <c r="P12" s="147">
        <v>56920.5580799042</v>
      </c>
      <c r="Q12" s="147">
        <v>8925.0676674505394</v>
      </c>
      <c r="R12" s="147">
        <v>22142.211592604799</v>
      </c>
      <c r="S12" s="147">
        <v>8537.2353875804201</v>
      </c>
      <c r="T12" s="147">
        <v>9569.8616079320509</v>
      </c>
      <c r="U12" s="147">
        <v>10562.9912807486</v>
      </c>
      <c r="V12" s="147" t="s">
        <v>210</v>
      </c>
      <c r="W12" s="147" t="s">
        <v>210</v>
      </c>
      <c r="X12" s="149">
        <v>153</v>
      </c>
      <c r="Y12" s="150">
        <f t="shared" ref="Y12:AF12" si="0">IF(N12="nd",NA(),100*N12/SUM($N12:$U12))</f>
        <v>76.765341382174725</v>
      </c>
      <c r="Z12" s="106">
        <f t="shared" si="0"/>
        <v>11.560852599737535</v>
      </c>
      <c r="AA12" s="106">
        <f t="shared" si="0"/>
        <v>5.6959657902035099</v>
      </c>
      <c r="AB12" s="106">
        <f t="shared" si="0"/>
        <v>0.89311984674650735</v>
      </c>
      <c r="AC12" s="106">
        <f t="shared" si="0"/>
        <v>2.2157421502065633</v>
      </c>
      <c r="AD12" s="106">
        <f t="shared" si="0"/>
        <v>0.85430997781697648</v>
      </c>
      <c r="AE12" s="106">
        <f t="shared" si="0"/>
        <v>0.9576435329260683</v>
      </c>
      <c r="AF12" s="125">
        <f t="shared" si="0"/>
        <v>1.0570247201881133</v>
      </c>
      <c r="AG12" s="124">
        <f>(K12/SUM(K12:U12))+(L12/SUM(K12:U12))+(M12/SUM(K12:U12))+(N12/SUM(K12:U12)*1010)+(O12/SUM(K12:U12)*1769.7)+(P12/SUM(K12:U12)*2516.1)+(Q12/SUM(K12:U12)*3251.9)+(R12/SUM(K12:U12)*3262.3)+(S12/SUM(K12:U12)*4000.9)+(T12/SUM(K12:U12)*4008.7)+(U12/SUM(K12:U12)*4755.9)</f>
        <v>1332.6788298726956</v>
      </c>
      <c r="AH12" s="108">
        <f>(Y12*1010+Z12*1769.7+AA12*2516.1+AB12*3251.9+AC12*3262.3+AD12*4000.9+AE12*4008.7+AF12*4755.9)/100</f>
        <v>1347.4062550016818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4" t="s">
        <v>181</v>
      </c>
      <c r="AG14" s="121"/>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58" t="s">
        <v>2</v>
      </c>
      <c r="Y15" s="158"/>
      <c r="Z15" s="159"/>
      <c r="AC15" s="127" t="s">
        <v>178</v>
      </c>
      <c r="AF15" s="53" t="s">
        <v>174</v>
      </c>
      <c r="AG15" s="101" t="s">
        <v>175</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0"/>
      <c r="Y16" s="160"/>
      <c r="Z16" s="161"/>
      <c r="AC16" s="128" t="s">
        <v>201</v>
      </c>
      <c r="AF16" s="117" t="s">
        <v>182</v>
      </c>
      <c r="AG16" s="118" t="s">
        <v>182</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9"/>
      <c r="AG17" s="120"/>
      <c r="CG17" s="52"/>
    </row>
    <row r="18" spans="1:85" ht="15" customHeight="1" thickBot="1" x14ac:dyDescent="0.25">
      <c r="A18" s="126" t="str">
        <f t="shared" ref="A18:F18" si="1">A12</f>
        <v>19052239</v>
      </c>
      <c r="B18" s="102" t="str">
        <f t="shared" si="1"/>
        <v>DIG-019109</v>
      </c>
      <c r="C18" s="102" t="str">
        <f t="shared" si="1"/>
        <v>Boulter 0-2-27</v>
      </c>
      <c r="D18" s="103" t="str">
        <f t="shared" si="1"/>
        <v>Bradenhead</v>
      </c>
      <c r="E18" s="103">
        <f t="shared" si="1"/>
        <v>43585</v>
      </c>
      <c r="F18" s="104">
        <f t="shared" si="1"/>
        <v>0.45833333333333331</v>
      </c>
      <c r="G18" s="102"/>
      <c r="H18" s="102"/>
      <c r="I18" s="107"/>
      <c r="J18" s="109">
        <f>IF(SUM(N12:U12)&gt;0,SUM(N12:U12),NA())</f>
        <v>999313.55237072962</v>
      </c>
      <c r="K18" s="105">
        <f>IF(J18&gt;0, 100*SUM(O12:U12)/SUM(N12:U12), NA())</f>
        <v>23.234658617825271</v>
      </c>
      <c r="L18" s="105">
        <f>IF(Y12&gt;0,IF(Z12&gt;0,Y12/(Z12+AA12),NA()))</f>
        <v>4.4484064007372899</v>
      </c>
      <c r="M18" s="110">
        <f>(N12+O12)/SUM(P12:T12)</f>
        <v>8.3194888830747882</v>
      </c>
      <c r="N18" s="148">
        <v>43589</v>
      </c>
      <c r="O18" s="156">
        <v>-48.7</v>
      </c>
      <c r="P18" s="156">
        <v>-32.200000000000003</v>
      </c>
      <c r="Q18" s="156">
        <v>-28</v>
      </c>
      <c r="R18" s="157">
        <v>-29.4</v>
      </c>
      <c r="S18" s="156">
        <v>-27.3</v>
      </c>
      <c r="T18" s="157">
        <v>-26</v>
      </c>
      <c r="U18" s="157">
        <v>-27.1</v>
      </c>
      <c r="V18" s="153"/>
      <c r="W18" s="147">
        <v>-241</v>
      </c>
      <c r="X18" s="162"/>
      <c r="Y18" s="163"/>
      <c r="Z18" s="164"/>
      <c r="AC18" s="129" t="s">
        <v>200</v>
      </c>
      <c r="AF18" s="112">
        <f>((K12/SUM(K12:U12)*28.0134)+(L12/SUM(K12:U12)*31.9988)+(M12/SUM(K12:U12)*44.0095)+(N12/SUM(K12:U12)*16.0425)+(O12/SUM(K12:U12)*30.069)+(P12/SUM(K12:U12)*44.0956)+(Q12/SUM(K12:U12)*58.1222)+(R12/SUM(K12:U12)*58.1222)+(S12/SUM(K12:U12)*72.1488)+(T12/SUM(K12:U12)*72.1488)+(U12/SUM(K12:U12)*86.1754))/28.967</f>
        <v>0.77311505049304141</v>
      </c>
      <c r="AG18" s="113">
        <f>((N12/SUM(N12:U12)*16.0425)+(O12/SUM(N12:U12)*30.069)+(P12/SUM(N12:U12)*44.0956)+(Q12/SUM(N12:U12)*58.1222)+(R12/SUM(N12:U12)*58.1222)+(S12/SUM(N12:U12)*72.1488)+(T12/SUM(N12:U12)*72.1488)+(U12/SUM(N12:U12)*86.1754))/28.967</f>
        <v>0.77081230135355605</v>
      </c>
      <c r="AR18" s="21"/>
      <c r="CF18" s="52"/>
      <c r="CG18" s="21"/>
    </row>
    <row r="19" spans="1:85" ht="15" customHeight="1" x14ac:dyDescent="0.2">
      <c r="AC19" s="129" t="s">
        <v>60</v>
      </c>
    </row>
    <row r="20" spans="1:85" ht="15" customHeight="1" x14ac:dyDescent="0.2">
      <c r="AC20" s="79" t="s">
        <v>177</v>
      </c>
    </row>
    <row r="21" spans="1:85" ht="15" customHeight="1" x14ac:dyDescent="0.2">
      <c r="Y21" s="81"/>
      <c r="AC21" s="79" t="s">
        <v>179</v>
      </c>
      <c r="AH21" s="21" t="s">
        <v>172</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ignoredErrors>
    <ignoredError sqref="J18:K1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85" zoomScaleNormal="85" zoomScaleSheetLayoutView="85" zoomScalePageLayoutView="85" workbookViewId="0">
      <selection activeCell="N5" sqref="N4:N5"/>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tabSelected="1" zoomScale="55" zoomScaleNormal="55" workbookViewId="0">
      <selection activeCell="H43" sqref="H43"/>
    </sheetView>
  </sheetViews>
  <sheetFormatPr defaultColWidth="9.5703125" defaultRowHeight="15" x14ac:dyDescent="0.25"/>
  <cols>
    <col min="1" max="1" width="12.2851562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1" t="str">
        <f>Cover!D23</f>
        <v>Great Western Oil and Gas</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f>'Data Summary'!E12+'Data Summary'!F12</f>
        <v>43585.458333333336</v>
      </c>
      <c r="D4" s="97"/>
      <c r="E4" s="140" t="str">
        <f>'Data Summary'!B12</f>
        <v>DIG-019109</v>
      </c>
      <c r="F4" s="138" t="s">
        <v>208</v>
      </c>
      <c r="G4" s="95" t="s">
        <v>96</v>
      </c>
      <c r="I4" s="140"/>
      <c r="J4" s="132" t="str">
        <f>Cover!D24</f>
        <v>Boulter 0-2-27</v>
      </c>
      <c r="K4" s="137">
        <v>43587</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1" t="str">
        <f>Cover!D21</f>
        <v>19052239</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2"/>
      <c r="B8" s="131" t="s">
        <v>132</v>
      </c>
      <c r="C8" s="95" t="s">
        <v>133</v>
      </c>
      <c r="D8" s="131" t="s">
        <v>134</v>
      </c>
      <c r="E8" s="132"/>
      <c r="F8" s="131" t="s">
        <v>135</v>
      </c>
      <c r="G8" s="141">
        <f>IF('Data Summary'!L12="nd",'EDD 1'!P8,ROUND((100*'Data Summary'!L12/SUM('Data Summary'!$K$12:$X$12)),3))</f>
        <v>5.0999999999999997E-2</v>
      </c>
      <c r="H8" s="133" t="str">
        <f>IF(G8=0.005,"ND","")</f>
        <v/>
      </c>
      <c r="I8" s="132"/>
      <c r="J8" s="132"/>
      <c r="K8" s="132"/>
      <c r="L8" s="132"/>
      <c r="M8" s="132"/>
      <c r="N8" s="132"/>
      <c r="O8" s="132"/>
      <c r="P8" s="97">
        <v>5.0000000000000001E-3</v>
      </c>
      <c r="Q8" s="97">
        <v>5.0000000000000001E-3</v>
      </c>
      <c r="R8" s="97">
        <v>5.0000000000000001E-3</v>
      </c>
      <c r="S8" s="132"/>
      <c r="T8" s="131" t="str">
        <f>$C$6</f>
        <v>19052239</v>
      </c>
    </row>
    <row r="9" spans="1:20" x14ac:dyDescent="0.25">
      <c r="A9" s="132"/>
      <c r="B9" s="131" t="s">
        <v>136</v>
      </c>
      <c r="C9" s="131" t="s">
        <v>137</v>
      </c>
      <c r="D9" s="131" t="s">
        <v>134</v>
      </c>
      <c r="E9" s="132"/>
      <c r="F9" s="131" t="s">
        <v>135</v>
      </c>
      <c r="G9" s="141">
        <f>IF('Data Summary'!M12="nd",'EDD 1'!P9,ROUND((100*'Data Summary'!M12/SUM('Data Summary'!$K$12:$X$12)),3))</f>
        <v>1.4999999999999999E-2</v>
      </c>
      <c r="H9" s="141" t="str">
        <f t="shared" ref="H9:H21" si="0">IF(G9=0.005,"ND","")</f>
        <v/>
      </c>
      <c r="I9" s="132"/>
      <c r="J9" s="132"/>
      <c r="K9" s="132"/>
      <c r="L9" s="132"/>
      <c r="M9" s="132"/>
      <c r="N9" s="132"/>
      <c r="O9" s="132"/>
      <c r="P9" s="97">
        <v>5.0000000000000001E-3</v>
      </c>
      <c r="Q9" s="97">
        <v>5.0000000000000001E-3</v>
      </c>
      <c r="R9" s="97">
        <v>5.0000000000000001E-3</v>
      </c>
      <c r="S9" s="132"/>
      <c r="T9" s="131" t="str">
        <f t="shared" ref="T9:T31" si="1">$C$6</f>
        <v>19052239</v>
      </c>
    </row>
    <row r="10" spans="1:20" x14ac:dyDescent="0.25">
      <c r="A10" s="132"/>
      <c r="B10" s="131" t="s">
        <v>138</v>
      </c>
      <c r="C10" s="131" t="s">
        <v>139</v>
      </c>
      <c r="D10" s="131" t="s">
        <v>134</v>
      </c>
      <c r="E10" s="132"/>
      <c r="F10" s="131" t="s">
        <v>135</v>
      </c>
      <c r="G10" s="141">
        <f>IF('Data Summary'!K12="nd",'EDD 1'!P10,ROUND((100*'Data Summary'!K12/SUM('Data Summary'!$K$12:$X$12)),3))</f>
        <v>1.0269999999999999</v>
      </c>
      <c r="H10" s="141" t="str">
        <f t="shared" si="0"/>
        <v/>
      </c>
      <c r="I10" s="132"/>
      <c r="J10" s="132"/>
      <c r="K10" s="132"/>
      <c r="L10" s="132"/>
      <c r="M10" s="132"/>
      <c r="N10" s="132"/>
      <c r="O10" s="132"/>
      <c r="P10" s="97">
        <v>5.0000000000000001E-3</v>
      </c>
      <c r="Q10" s="97">
        <v>5.0000000000000001E-3</v>
      </c>
      <c r="R10" s="97">
        <v>5.0000000000000001E-3</v>
      </c>
      <c r="S10" s="132"/>
      <c r="T10" s="131" t="str">
        <f t="shared" si="1"/>
        <v>19052239</v>
      </c>
    </row>
    <row r="11" spans="1:20" x14ac:dyDescent="0.25">
      <c r="A11" s="132"/>
      <c r="B11" s="131" t="s">
        <v>187</v>
      </c>
      <c r="C11" s="131" t="s">
        <v>188</v>
      </c>
      <c r="D11" s="131" t="s">
        <v>134</v>
      </c>
      <c r="E11" s="132"/>
      <c r="F11" s="131" t="s">
        <v>135</v>
      </c>
      <c r="G11" s="141">
        <f>IF('Data Summary'!W12="nd",'EDD 1'!P11,ROUND((100*'Data Summary'!W12/SUM('Data Summary'!$K$12:$X$12)),3))</f>
        <v>5.0000000000000001E-3</v>
      </c>
      <c r="H11" s="141" t="str">
        <f t="shared" si="0"/>
        <v>ND</v>
      </c>
      <c r="P11" s="97">
        <v>5.0000000000000001E-3</v>
      </c>
      <c r="Q11" s="97">
        <v>5.0000000000000001E-3</v>
      </c>
      <c r="R11" s="97">
        <v>5.0000000000000001E-3</v>
      </c>
      <c r="S11" s="132"/>
      <c r="T11" s="131" t="str">
        <f t="shared" si="1"/>
        <v>19052239</v>
      </c>
    </row>
    <row r="12" spans="1:20" x14ac:dyDescent="0.25">
      <c r="A12" s="132"/>
      <c r="B12" s="131" t="s">
        <v>189</v>
      </c>
      <c r="C12" s="131" t="s">
        <v>190</v>
      </c>
      <c r="D12" s="131" t="s">
        <v>134</v>
      </c>
      <c r="E12" s="132"/>
      <c r="F12" s="131" t="s">
        <v>135</v>
      </c>
      <c r="G12" s="141">
        <f>IF('Data Summary'!X12="nd",'EDD 1'!P12,ROUND((100*'Data Summary'!X12/SUM('Data Summary'!$K$12:$X$12)),3))</f>
        <v>1.4999999999999999E-2</v>
      </c>
      <c r="H12" s="141" t="str">
        <f t="shared" si="0"/>
        <v/>
      </c>
      <c r="P12" s="97">
        <v>5.0000000000000001E-3</v>
      </c>
      <c r="Q12" s="97">
        <v>5.0000000000000001E-3</v>
      </c>
      <c r="R12" s="97">
        <v>5.0000000000000001E-3</v>
      </c>
      <c r="S12" s="132"/>
      <c r="T12" s="131" t="str">
        <f t="shared" si="1"/>
        <v>19052239</v>
      </c>
    </row>
    <row r="13" spans="1:20" x14ac:dyDescent="0.25">
      <c r="A13" s="132"/>
      <c r="B13" s="131" t="s">
        <v>140</v>
      </c>
      <c r="C13" s="131" t="s">
        <v>141</v>
      </c>
      <c r="D13" s="131" t="s">
        <v>134</v>
      </c>
      <c r="E13" s="132"/>
      <c r="F13" s="131" t="s">
        <v>135</v>
      </c>
      <c r="G13" s="141">
        <f>IF('Data Summary'!N12="nd",'EDD 1'!P13,ROUND((100*'Data Summary'!N12/SUM('Data Summary'!$K$12:$X$12)),3))</f>
        <v>75.914000000000001</v>
      </c>
      <c r="H13" s="141" t="str">
        <f t="shared" si="0"/>
        <v/>
      </c>
      <c r="I13" s="132"/>
      <c r="J13" s="132"/>
      <c r="K13" s="132"/>
      <c r="L13" s="132"/>
      <c r="M13" s="132"/>
      <c r="N13" s="132"/>
      <c r="O13" s="132"/>
      <c r="P13" s="97">
        <v>5.0000000000000001E-3</v>
      </c>
      <c r="Q13" s="97">
        <v>5.0000000000000001E-3</v>
      </c>
      <c r="R13" s="97">
        <v>5.0000000000000001E-3</v>
      </c>
      <c r="S13" s="132"/>
      <c r="T13" s="131" t="str">
        <f t="shared" si="1"/>
        <v>19052239</v>
      </c>
    </row>
    <row r="14" spans="1:20" x14ac:dyDescent="0.25">
      <c r="A14" s="132"/>
      <c r="B14" s="131" t="s">
        <v>142</v>
      </c>
      <c r="C14" s="131" t="s">
        <v>143</v>
      </c>
      <c r="D14" s="131" t="s">
        <v>134</v>
      </c>
      <c r="E14" s="132"/>
      <c r="F14" s="131" t="s">
        <v>135</v>
      </c>
      <c r="G14" s="141">
        <f>IF('Data Summary'!O12="nd",'EDD 1'!P14,ROUND((100*'Data Summary'!O12/SUM('Data Summary'!$K$12:$X$12)),3))</f>
        <v>11.433</v>
      </c>
      <c r="H14" s="141" t="str">
        <f t="shared" si="0"/>
        <v/>
      </c>
      <c r="I14" s="132"/>
      <c r="J14" s="132"/>
      <c r="K14" s="132"/>
      <c r="L14" s="132"/>
      <c r="M14" s="132"/>
      <c r="N14" s="132"/>
      <c r="O14" s="132"/>
      <c r="P14" s="97">
        <v>5.0000000000000001E-3</v>
      </c>
      <c r="Q14" s="97">
        <v>5.0000000000000001E-3</v>
      </c>
      <c r="R14" s="97">
        <v>5.0000000000000001E-3</v>
      </c>
      <c r="S14" s="132"/>
      <c r="T14" s="131" t="str">
        <f t="shared" si="1"/>
        <v>19052239</v>
      </c>
    </row>
    <row r="15" spans="1:20" x14ac:dyDescent="0.25">
      <c r="A15" s="132"/>
      <c r="B15" s="131" t="s">
        <v>191</v>
      </c>
      <c r="C15" s="131" t="s">
        <v>192</v>
      </c>
      <c r="D15" s="131" t="s">
        <v>134</v>
      </c>
      <c r="E15" s="132"/>
      <c r="F15" s="131" t="s">
        <v>135</v>
      </c>
      <c r="G15" s="141">
        <f>IF('Data Summary'!V12="nd",'EDD 1'!P15,ROUND((100*'Data Summary'!V12/SUM('Data Summary'!$K$12:$X$12)),3))</f>
        <v>5.0000000000000001E-3</v>
      </c>
      <c r="H15" s="141" t="str">
        <f t="shared" si="0"/>
        <v>ND</v>
      </c>
      <c r="P15" s="97">
        <v>5.0000000000000001E-3</v>
      </c>
      <c r="Q15" s="97">
        <v>5.0000000000000001E-3</v>
      </c>
      <c r="R15" s="97">
        <v>5.0000000000000001E-3</v>
      </c>
      <c r="S15" s="132"/>
      <c r="T15" s="131" t="str">
        <f t="shared" si="1"/>
        <v>19052239</v>
      </c>
    </row>
    <row r="16" spans="1:20" x14ac:dyDescent="0.25">
      <c r="A16" s="132"/>
      <c r="B16" s="131" t="s">
        <v>144</v>
      </c>
      <c r="C16" s="131" t="s">
        <v>145</v>
      </c>
      <c r="D16" s="131" t="s">
        <v>134</v>
      </c>
      <c r="E16" s="132"/>
      <c r="F16" s="131" t="s">
        <v>135</v>
      </c>
      <c r="G16" s="141">
        <f>IF('Data Summary'!P12="nd",'EDD 1'!P16,ROUND((100*'Data Summary'!P12/SUM('Data Summary'!$K$12:$X$12)),3))</f>
        <v>5.633</v>
      </c>
      <c r="H16" s="141" t="str">
        <f t="shared" si="0"/>
        <v/>
      </c>
      <c r="I16" s="132"/>
      <c r="J16" s="132"/>
      <c r="K16" s="132"/>
      <c r="L16" s="132"/>
      <c r="M16" s="132"/>
      <c r="N16" s="132"/>
      <c r="O16" s="132"/>
      <c r="P16" s="97">
        <v>5.0000000000000001E-3</v>
      </c>
      <c r="Q16" s="97">
        <v>5.0000000000000001E-3</v>
      </c>
      <c r="R16" s="97">
        <v>5.0000000000000001E-3</v>
      </c>
      <c r="S16" s="132"/>
      <c r="T16" s="131" t="str">
        <f t="shared" si="1"/>
        <v>19052239</v>
      </c>
    </row>
    <row r="17" spans="1:20" x14ac:dyDescent="0.25">
      <c r="A17" s="132"/>
      <c r="B17" s="131" t="s">
        <v>146</v>
      </c>
      <c r="C17" s="131" t="s">
        <v>147</v>
      </c>
      <c r="D17" s="131" t="s">
        <v>134</v>
      </c>
      <c r="E17" s="132"/>
      <c r="F17" s="131" t="s">
        <v>135</v>
      </c>
      <c r="G17" s="141">
        <f>IF('Data Summary'!Q12="nd",'EDD 1'!P17,ROUND((100*'Data Summary'!Q12/SUM('Data Summary'!$K$12:$X$12)),3))</f>
        <v>0.88300000000000001</v>
      </c>
      <c r="H17" s="141" t="str">
        <f t="shared" si="0"/>
        <v/>
      </c>
      <c r="I17" s="132"/>
      <c r="J17" s="132"/>
      <c r="K17" s="132"/>
      <c r="M17" s="132"/>
      <c r="N17" s="132"/>
      <c r="O17" s="132"/>
      <c r="P17" s="97">
        <v>5.0000000000000001E-3</v>
      </c>
      <c r="Q17" s="97">
        <v>5.0000000000000001E-3</v>
      </c>
      <c r="R17" s="97">
        <v>5.0000000000000001E-3</v>
      </c>
      <c r="S17" s="132"/>
      <c r="T17" s="131" t="str">
        <f t="shared" si="1"/>
        <v>19052239</v>
      </c>
    </row>
    <row r="18" spans="1:20" x14ac:dyDescent="0.25">
      <c r="A18" s="132"/>
      <c r="B18" s="131" t="s">
        <v>148</v>
      </c>
      <c r="C18" s="131" t="s">
        <v>149</v>
      </c>
      <c r="D18" s="131" t="s">
        <v>134</v>
      </c>
      <c r="E18" s="132"/>
      <c r="F18" s="131" t="s">
        <v>135</v>
      </c>
      <c r="G18" s="141">
        <f>IF('Data Summary'!R12="nd",'EDD 1'!P18,ROUND((100*'Data Summary'!R12/SUM('Data Summary'!$K$12:$X$12)),3))</f>
        <v>2.1909999999999998</v>
      </c>
      <c r="H18" s="141" t="str">
        <f t="shared" si="0"/>
        <v/>
      </c>
      <c r="I18" s="132"/>
      <c r="J18" s="132"/>
      <c r="K18" s="132"/>
      <c r="M18" s="132"/>
      <c r="N18" s="132"/>
      <c r="O18" s="132"/>
      <c r="P18" s="97">
        <v>5.0000000000000001E-3</v>
      </c>
      <c r="Q18" s="97">
        <v>5.0000000000000001E-3</v>
      </c>
      <c r="R18" s="97">
        <v>5.0000000000000001E-3</v>
      </c>
      <c r="S18" s="132"/>
      <c r="T18" s="131" t="str">
        <f t="shared" si="1"/>
        <v>19052239</v>
      </c>
    </row>
    <row r="19" spans="1:20" x14ac:dyDescent="0.25">
      <c r="A19" s="132"/>
      <c r="B19" s="131" t="s">
        <v>75</v>
      </c>
      <c r="C19" s="131" t="s">
        <v>150</v>
      </c>
      <c r="D19" s="131" t="s">
        <v>134</v>
      </c>
      <c r="E19" s="132"/>
      <c r="F19" s="131" t="s">
        <v>135</v>
      </c>
      <c r="G19" s="141">
        <f>IF('Data Summary'!S12="nd",'EDD 1'!P19,ROUND((100*'Data Summary'!S12/SUM('Data Summary'!$K$12:$X$12)),3))</f>
        <v>0.84499999999999997</v>
      </c>
      <c r="H19" s="141" t="str">
        <f t="shared" si="0"/>
        <v/>
      </c>
      <c r="I19" s="132"/>
      <c r="J19" s="132"/>
      <c r="K19" s="132"/>
      <c r="L19" s="132"/>
      <c r="M19" s="132"/>
      <c r="N19" s="132"/>
      <c r="O19" s="132"/>
      <c r="P19" s="97">
        <v>5.0000000000000001E-3</v>
      </c>
      <c r="Q19" s="97">
        <v>5.0000000000000001E-3</v>
      </c>
      <c r="R19" s="97">
        <v>5.0000000000000001E-3</v>
      </c>
      <c r="S19" s="132"/>
      <c r="T19" s="131" t="str">
        <f t="shared" si="1"/>
        <v>19052239</v>
      </c>
    </row>
    <row r="20" spans="1:20" x14ac:dyDescent="0.25">
      <c r="A20" s="132"/>
      <c r="B20" s="131" t="s">
        <v>151</v>
      </c>
      <c r="C20" s="131" t="s">
        <v>152</v>
      </c>
      <c r="D20" s="131" t="s">
        <v>134</v>
      </c>
      <c r="E20" s="132"/>
      <c r="F20" s="131" t="s">
        <v>135</v>
      </c>
      <c r="G20" s="141">
        <f>IF('Data Summary'!T12="nd",'EDD 1'!P20,ROUND((100*'Data Summary'!T12/SUM('Data Summary'!$K$12:$X$12)),3))</f>
        <v>0.94699999999999995</v>
      </c>
      <c r="H20" s="141" t="str">
        <f t="shared" si="0"/>
        <v/>
      </c>
      <c r="I20" s="132"/>
      <c r="J20" s="132"/>
      <c r="K20" s="132"/>
      <c r="L20" s="132"/>
      <c r="M20" s="132"/>
      <c r="N20" s="132"/>
      <c r="O20" s="132"/>
      <c r="P20" s="97">
        <v>5.0000000000000001E-3</v>
      </c>
      <c r="Q20" s="97">
        <v>5.0000000000000001E-3</v>
      </c>
      <c r="R20" s="97">
        <v>5.0000000000000001E-3</v>
      </c>
      <c r="S20" s="132"/>
      <c r="T20" s="131" t="str">
        <f t="shared" si="1"/>
        <v>19052239</v>
      </c>
    </row>
    <row r="21" spans="1:20" x14ac:dyDescent="0.25">
      <c r="A21" s="130"/>
      <c r="B21" s="131" t="s">
        <v>153</v>
      </c>
      <c r="C21" s="131" t="s">
        <v>154</v>
      </c>
      <c r="D21" s="131" t="s">
        <v>134</v>
      </c>
      <c r="E21" s="132"/>
      <c r="F21" s="131" t="s">
        <v>135</v>
      </c>
      <c r="G21" s="141">
        <f>IF('Data Summary'!U12="nd",'EDD 1'!P21,ROUND((100*'Data Summary'!U12/SUM('Data Summary'!$K$12:$X$12)),3))</f>
        <v>1.0449999999999999</v>
      </c>
      <c r="H21" s="141" t="str">
        <f t="shared" si="0"/>
        <v/>
      </c>
      <c r="I21" s="100"/>
      <c r="J21" s="132"/>
      <c r="K21" s="132"/>
      <c r="M21" s="132"/>
      <c r="N21" s="132"/>
      <c r="O21" s="132"/>
      <c r="P21" s="97">
        <v>5.0000000000000001E-3</v>
      </c>
      <c r="Q21" s="97">
        <v>5.0000000000000001E-3</v>
      </c>
      <c r="R21" s="97">
        <v>5.0000000000000001E-3</v>
      </c>
      <c r="S21" s="132"/>
      <c r="T21" s="131" t="str">
        <f t="shared" si="1"/>
        <v>19052239</v>
      </c>
    </row>
    <row r="22" spans="1:20" x14ac:dyDescent="0.25">
      <c r="A22" s="130"/>
      <c r="B22" s="134" t="s">
        <v>155</v>
      </c>
      <c r="C22" s="134" t="s">
        <v>156</v>
      </c>
      <c r="D22" s="131" t="s">
        <v>134</v>
      </c>
      <c r="E22" s="132"/>
      <c r="F22" s="135" t="s">
        <v>157</v>
      </c>
      <c r="G22" s="136">
        <f>'Data Summary'!O18</f>
        <v>-48.7</v>
      </c>
      <c r="H22" s="141" t="str">
        <f>IF(G22="nd","ND","")</f>
        <v/>
      </c>
      <c r="I22" s="132"/>
      <c r="J22" s="132"/>
      <c r="K22" s="154"/>
      <c r="M22" s="132"/>
      <c r="N22" s="132"/>
      <c r="O22" s="132"/>
      <c r="P22" s="132"/>
      <c r="Q22" s="132"/>
      <c r="R22" s="132"/>
      <c r="S22" s="132"/>
      <c r="T22" s="131" t="str">
        <f t="shared" si="1"/>
        <v>19052239</v>
      </c>
    </row>
    <row r="23" spans="1:20" x14ac:dyDescent="0.25">
      <c r="A23" s="130"/>
      <c r="B23" s="134" t="s">
        <v>158</v>
      </c>
      <c r="C23" s="134" t="s">
        <v>159</v>
      </c>
      <c r="D23" s="131" t="s">
        <v>134</v>
      </c>
      <c r="E23" s="132"/>
      <c r="F23" s="135" t="s">
        <v>157</v>
      </c>
      <c r="G23" s="98">
        <f>'Data Summary'!W18</f>
        <v>-241</v>
      </c>
      <c r="H23" s="141" t="str">
        <f t="shared" ref="H23:H29" si="2">IF(G23="nd","ND","")</f>
        <v/>
      </c>
      <c r="I23" s="132"/>
      <c r="J23" s="132"/>
      <c r="K23" s="154"/>
      <c r="M23" s="132"/>
      <c r="N23" s="132"/>
      <c r="O23" s="132"/>
      <c r="P23" s="97"/>
      <c r="Q23" s="97"/>
      <c r="R23" s="97"/>
      <c r="S23" s="132"/>
      <c r="T23" s="140" t="str">
        <f t="shared" si="1"/>
        <v>19052239</v>
      </c>
    </row>
    <row r="24" spans="1:20" x14ac:dyDescent="0.25">
      <c r="A24" s="130"/>
      <c r="B24" s="134" t="s">
        <v>160</v>
      </c>
      <c r="C24" s="135" t="s">
        <v>161</v>
      </c>
      <c r="D24" s="131" t="s">
        <v>134</v>
      </c>
      <c r="E24" s="130"/>
      <c r="F24" s="135" t="s">
        <v>157</v>
      </c>
      <c r="G24" s="136">
        <f>'Data Summary'!P18</f>
        <v>-32.200000000000003</v>
      </c>
      <c r="H24" s="141" t="str">
        <f t="shared" si="2"/>
        <v/>
      </c>
      <c r="I24" s="132"/>
      <c r="J24" s="132"/>
      <c r="K24" s="154"/>
      <c r="M24" s="132"/>
      <c r="N24" s="132"/>
      <c r="O24" s="132"/>
      <c r="P24" s="132"/>
      <c r="Q24" s="132"/>
      <c r="R24" s="132"/>
      <c r="S24" s="132"/>
      <c r="T24" s="131" t="str">
        <f t="shared" si="1"/>
        <v>19052239</v>
      </c>
    </row>
    <row r="25" spans="1:20" x14ac:dyDescent="0.25">
      <c r="B25" s="134" t="s">
        <v>162</v>
      </c>
      <c r="C25" s="135" t="s">
        <v>163</v>
      </c>
      <c r="D25" s="131" t="s">
        <v>134</v>
      </c>
      <c r="E25" s="130"/>
      <c r="F25" s="135" t="s">
        <v>157</v>
      </c>
      <c r="G25" s="136">
        <f>'Data Summary'!Q18</f>
        <v>-28</v>
      </c>
      <c r="H25" s="141" t="str">
        <f t="shared" si="2"/>
        <v/>
      </c>
      <c r="K25" s="155"/>
      <c r="T25" s="131" t="str">
        <f t="shared" si="1"/>
        <v>19052239</v>
      </c>
    </row>
    <row r="26" spans="1:20" x14ac:dyDescent="0.25">
      <c r="B26" s="134" t="s">
        <v>164</v>
      </c>
      <c r="C26" s="135" t="s">
        <v>165</v>
      </c>
      <c r="D26" s="131" t="s">
        <v>134</v>
      </c>
      <c r="E26" s="130"/>
      <c r="F26" s="135" t="s">
        <v>157</v>
      </c>
      <c r="G26" s="136">
        <f>'Data Summary'!R18</f>
        <v>-29.4</v>
      </c>
      <c r="H26" s="141" t="str">
        <f t="shared" si="2"/>
        <v/>
      </c>
      <c r="K26" s="155" t="s">
        <v>209</v>
      </c>
      <c r="T26" s="131" t="str">
        <f t="shared" si="1"/>
        <v>19052239</v>
      </c>
    </row>
    <row r="27" spans="1:20" x14ac:dyDescent="0.25">
      <c r="B27" s="134" t="s">
        <v>166</v>
      </c>
      <c r="C27" s="135" t="s">
        <v>167</v>
      </c>
      <c r="D27" s="131" t="s">
        <v>134</v>
      </c>
      <c r="E27" s="130"/>
      <c r="F27" s="135" t="s">
        <v>157</v>
      </c>
      <c r="G27" s="136">
        <f>'Data Summary'!S18</f>
        <v>-27.3</v>
      </c>
      <c r="H27" s="141" t="str">
        <f t="shared" si="2"/>
        <v/>
      </c>
      <c r="K27" s="155"/>
      <c r="T27" s="131" t="str">
        <f t="shared" si="1"/>
        <v>19052239</v>
      </c>
    </row>
    <row r="28" spans="1:20" x14ac:dyDescent="0.25">
      <c r="B28" s="134" t="s">
        <v>168</v>
      </c>
      <c r="C28" s="135" t="s">
        <v>169</v>
      </c>
      <c r="D28" s="131" t="s">
        <v>134</v>
      </c>
      <c r="E28" s="130"/>
      <c r="F28" s="135" t="s">
        <v>157</v>
      </c>
      <c r="G28" s="136">
        <f>'Data Summary'!T18</f>
        <v>-26</v>
      </c>
      <c r="H28" s="141" t="str">
        <f t="shared" si="2"/>
        <v/>
      </c>
      <c r="K28" s="155" t="s">
        <v>209</v>
      </c>
      <c r="T28" s="131" t="str">
        <f t="shared" si="1"/>
        <v>19052239</v>
      </c>
    </row>
    <row r="29" spans="1:20" x14ac:dyDescent="0.25">
      <c r="B29" s="134" t="s">
        <v>170</v>
      </c>
      <c r="C29" s="135" t="s">
        <v>171</v>
      </c>
      <c r="D29" s="131" t="s">
        <v>134</v>
      </c>
      <c r="E29" s="130"/>
      <c r="F29" s="135" t="s">
        <v>157</v>
      </c>
      <c r="G29" s="136">
        <f>'Data Summary'!U18</f>
        <v>-27.1</v>
      </c>
      <c r="H29" s="141" t="str">
        <f t="shared" si="2"/>
        <v/>
      </c>
      <c r="K29" s="155" t="s">
        <v>209</v>
      </c>
      <c r="T29" s="131" t="str">
        <f t="shared" si="1"/>
        <v>19052239</v>
      </c>
    </row>
    <row r="30" spans="1:20" x14ac:dyDescent="0.25">
      <c r="B30" s="142" t="s">
        <v>193</v>
      </c>
      <c r="C30" s="143" t="s">
        <v>194</v>
      </c>
      <c r="D30" s="140" t="s">
        <v>134</v>
      </c>
      <c r="E30" s="139"/>
      <c r="F30" s="143" t="s">
        <v>195</v>
      </c>
      <c r="G30" s="144">
        <f>ROUND('Data Summary'!AG12,0)</f>
        <v>1333</v>
      </c>
      <c r="H30" s="141"/>
      <c r="T30" s="140" t="str">
        <f t="shared" si="1"/>
        <v>19052239</v>
      </c>
    </row>
    <row r="31" spans="1:20" x14ac:dyDescent="0.25">
      <c r="B31" s="142" t="s">
        <v>196</v>
      </c>
      <c r="C31" s="143" t="s">
        <v>197</v>
      </c>
      <c r="D31" s="140" t="s">
        <v>134</v>
      </c>
      <c r="E31" s="139"/>
      <c r="F31" s="143" t="s">
        <v>207</v>
      </c>
      <c r="G31" s="151">
        <f>ROUND('Data Summary'!AF18,3)</f>
        <v>0.77300000000000002</v>
      </c>
      <c r="H31" s="141"/>
      <c r="T31" s="140" t="str">
        <f t="shared" si="1"/>
        <v>19052239</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zoomScale="115" zoomScaleNormal="115"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Cover</vt:lpstr>
      <vt:lpstr>Data Summary</vt:lpstr>
      <vt:lpstr>InterpretivePlots</vt:lpstr>
      <vt:lpstr>EDD 1</vt:lpstr>
      <vt:lpstr>COC</vt:lpstr>
      <vt:lpstr>Cover!Print_Area</vt:lpstr>
      <vt:lpstr>'Data Summary'!Print_Area</vt:lpstr>
      <vt:lpstr>'EDD 1'!Print_Area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2019-05-20T15:19:23Z</dcterms:modified>
</cp:coreProperties>
</file>