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7065" yWindow="1155" windowWidth="27795" windowHeight="14370"/>
  </bookViews>
  <sheets>
    <sheet name="Detailed" sheetId="1" r:id="rId1"/>
    <sheet name="Cement" sheetId="6" state="hidden" r:id="rId2"/>
  </sheets>
  <definedNames>
    <definedName name="_xlnm.Print_Area" localSheetId="0">Detailed!$A$1:$I$53</definedName>
    <definedName name="SOCO" localSheetId="1">#REF!</definedName>
    <definedName name="SOCO">#REF!</definedName>
    <definedName name="TYPE" localSheetId="1">#REF!</definedName>
    <definedName name="TYPE">#REF!</definedName>
  </definedNames>
  <calcPr calcId="152511"/>
</workbook>
</file>

<file path=xl/calcChain.xml><?xml version="1.0" encoding="utf-8"?>
<calcChain xmlns="http://schemas.openxmlformats.org/spreadsheetml/2006/main">
  <c r="F87" i="1"/>
  <c r="G87"/>
  <c r="I87" s="1"/>
  <c r="J87" s="1"/>
  <c r="J88" s="1"/>
  <c r="F77" l="1"/>
  <c r="G77" s="1"/>
  <c r="I77" s="1"/>
  <c r="J77" s="1"/>
  <c r="F76"/>
  <c r="G76" s="1"/>
  <c r="I76" s="1"/>
  <c r="J76" s="1"/>
  <c r="F75"/>
  <c r="G75" s="1"/>
  <c r="I75" s="1"/>
  <c r="J75" s="1"/>
  <c r="F59"/>
  <c r="G59" s="1"/>
  <c r="H59" s="1"/>
  <c r="F58"/>
  <c r="G58" s="1"/>
  <c r="H58" s="1"/>
  <c r="H60" l="1"/>
  <c r="J78"/>
  <c r="G41" l="1"/>
  <c r="I41" s="1"/>
  <c r="F46" l="1"/>
  <c r="G46" s="1"/>
  <c r="H46" s="1"/>
  <c r="F40" l="1"/>
  <c r="G40" s="1"/>
  <c r="I40" s="1"/>
  <c r="J40" s="1"/>
  <c r="F39"/>
  <c r="G39" s="1"/>
  <c r="I39" s="1"/>
  <c r="J39" s="1"/>
  <c r="J41" l="1"/>
  <c r="J42" s="1"/>
  <c r="F25" l="1"/>
  <c r="G25" s="1"/>
  <c r="I25" l="1"/>
  <c r="J25" s="1"/>
  <c r="E4" i="6" l="1"/>
  <c r="F4" s="1"/>
  <c r="G4" s="1"/>
  <c r="E10"/>
  <c r="F10" s="1"/>
  <c r="G10" s="1"/>
  <c r="E2" l="1"/>
  <c r="E8"/>
  <c r="I8" l="1"/>
  <c r="I9" s="1"/>
  <c r="I10" s="1"/>
  <c r="F7"/>
  <c r="B10"/>
  <c r="B4"/>
</calcChain>
</file>

<file path=xl/sharedStrings.xml><?xml version="1.0" encoding="utf-8"?>
<sst xmlns="http://schemas.openxmlformats.org/spreadsheetml/2006/main" count="148" uniqueCount="107">
  <si>
    <t>PROCEDURE:</t>
  </si>
  <si>
    <t>1)</t>
  </si>
  <si>
    <t>2)</t>
  </si>
  <si>
    <t>3)</t>
  </si>
  <si>
    <t>4)</t>
  </si>
  <si>
    <t>5)</t>
  </si>
  <si>
    <t>6)</t>
  </si>
  <si>
    <t>7)</t>
  </si>
  <si>
    <t>sx</t>
  </si>
  <si>
    <t>Csg/Hole ID</t>
  </si>
  <si>
    <t>inches</t>
  </si>
  <si>
    <t>Depth</t>
  </si>
  <si>
    <t>feet</t>
  </si>
  <si>
    <t>Yield</t>
  </si>
  <si>
    <t>ft^3/sack</t>
  </si>
  <si>
    <t># of Sacks</t>
  </si>
  <si>
    <t>sacks</t>
  </si>
  <si>
    <t>Csg OD</t>
  </si>
  <si>
    <t>Hole ID</t>
  </si>
  <si>
    <t>OD</t>
  </si>
  <si>
    <t>Weight</t>
  </si>
  <si>
    <t>ID</t>
  </si>
  <si>
    <t>12)</t>
  </si>
  <si>
    <t>Bradenhead Form 17 needs to be done by the rig since this is a PG1 LTSI well that hasn't had a recent Form 17.</t>
  </si>
  <si>
    <t>Recover any necessary samples per Form 6 COA; direct sample(s) to DIG/Precision contact for analysis.</t>
  </si>
  <si>
    <t>MIRU workover rig, pump, and tank.</t>
  </si>
  <si>
    <t>Blow down well and roll hole with fresh water, if possible.</t>
  </si>
  <si>
    <t>ND WH, NU BOP.</t>
  </si>
  <si>
    <t>Dump bail 2 sx of Class G Neat cement on top of CIBP.</t>
  </si>
  <si>
    <t xml:space="preserve">Load hole with fluid and pressure test CIBP to 1000 psi with rig pumps.  Hold for 15 minutes.  </t>
  </si>
  <si>
    <t>Test will be considered successful if lose less than 100 psi.  If test is unsuccessful, contact engineer.</t>
  </si>
  <si>
    <t>13)</t>
  </si>
  <si>
    <t>14)</t>
  </si>
  <si>
    <t>16)</t>
  </si>
  <si>
    <t>17)</t>
  </si>
  <si>
    <t>18)</t>
  </si>
  <si>
    <t>19)</t>
  </si>
  <si>
    <t>20)</t>
  </si>
  <si>
    <t>22)</t>
  </si>
  <si>
    <t>23)</t>
  </si>
  <si>
    <t>24)</t>
  </si>
  <si>
    <t>25)</t>
  </si>
  <si>
    <t>26)</t>
  </si>
  <si>
    <t>27)</t>
  </si>
  <si>
    <t>28)</t>
  </si>
  <si>
    <t>Length (ft)</t>
  </si>
  <si>
    <t>Volume (ft^3)</t>
  </si>
  <si>
    <t>Yield (ft^3/sk)</t>
  </si>
  <si>
    <t>Cement (sk)</t>
  </si>
  <si>
    <t>TOTAL:</t>
  </si>
  <si>
    <t>ft3</t>
  </si>
  <si>
    <t>ft3/ft</t>
  </si>
  <si>
    <t>OD (in)</t>
  </si>
  <si>
    <t>ID (in)</t>
  </si>
  <si>
    <t>ft^3/ft</t>
  </si>
  <si>
    <t>Nearest 5sk</t>
  </si>
  <si>
    <t>Disp (BBL)</t>
  </si>
  <si>
    <t>POOH w/ perforating gun</t>
  </si>
  <si>
    <t>2x Bottoms up:</t>
  </si>
  <si>
    <t>BBL/ft</t>
  </si>
  <si>
    <t>2x Disp (BBL)</t>
  </si>
  <si>
    <t xml:space="preserve">Perform flow check for 5 minutes to ensure well is static and record current fluid weight in WellView. </t>
  </si>
  <si>
    <t>Shoe Plug:</t>
  </si>
  <si>
    <t xml:space="preserve">SDFN and ensure that well has no pressure prior to pumping second plug to surface. </t>
  </si>
  <si>
    <t xml:space="preserve">If pressure is present, contact engineer. </t>
  </si>
  <si>
    <t>29)</t>
  </si>
  <si>
    <t xml:space="preserve">POOH w/ workstring. Top off cmt. if needed. Cement needs to be ~ 10' from surface. </t>
  </si>
  <si>
    <t xml:space="preserve">ND BOP. Top off cement as needed. </t>
  </si>
  <si>
    <t>RDMO</t>
  </si>
  <si>
    <t>CICR Plug:</t>
  </si>
  <si>
    <t>2 bbl on top of CICR</t>
  </si>
  <si>
    <t>Tubing Displacement:</t>
  </si>
  <si>
    <t>Tubing ID</t>
  </si>
  <si>
    <t>Disp. Factor (BBL/ft)</t>
  </si>
  <si>
    <t>Disp -2BBL</t>
  </si>
  <si>
    <t>15)</t>
  </si>
  <si>
    <t>Unsting from CICR.</t>
  </si>
  <si>
    <t>POOH w/ workstring</t>
  </si>
  <si>
    <t>10)</t>
  </si>
  <si>
    <t>11)</t>
  </si>
  <si>
    <t>Displace cement with 7 bbls fresh water (2 bbls short of workstring volume).</t>
  </si>
  <si>
    <t xml:space="preserve">Load annulus between production casing and workstring.  Test to 500 psi for 15 minutes.  </t>
  </si>
  <si>
    <t>Test is considered successful if lose less than 50 psi.  If pressure test fails, contact engineer.</t>
  </si>
  <si>
    <t>RIH w/ 1’ perforating gun and shoot 4-6 spf @ 2500’.</t>
  </si>
  <si>
    <t>RIH w/ CICR on workstring and set @ 2400’ (100’ above perforations).</t>
  </si>
  <si>
    <t>Place remaining 2 bbls of cement on top of CICR.  Allow to fall on CICR as pulling out. TOC: 2349'</t>
  </si>
  <si>
    <t>30)</t>
  </si>
  <si>
    <t>31)</t>
  </si>
  <si>
    <t xml:space="preserve">POOH and stand back tbg. </t>
  </si>
  <si>
    <t>RU WL and RIH w/ CIBP and set @ 6879’ (50’ above Nio top perf). POOH</t>
  </si>
  <si>
    <t xml:space="preserve">TOC: 6853' </t>
  </si>
  <si>
    <t>Balance plug should be 4100' to 4550' (total 450 ft of balance plug)</t>
  </si>
  <si>
    <t xml:space="preserve">RIH w/ workstring to 4550' maintain circulation. Pump 35 sx of Class G Neat. as a balance plug. </t>
  </si>
  <si>
    <t>Pump 10 bbls Mud Flush (or similar spacer) followed by 165 sx of cement (Regular Class G Neat).</t>
  </si>
  <si>
    <t xml:space="preserve">Unland Production Casing. </t>
  </si>
  <si>
    <t xml:space="preserve">POOH and LD production csg. Filling pipe every 6 joints. </t>
  </si>
  <si>
    <t>Establish circulation.</t>
  </si>
  <si>
    <t>TOC should be at surface. Braidenhead well. Fox hill coverred.</t>
  </si>
  <si>
    <t>33)</t>
  </si>
  <si>
    <t>34)</t>
  </si>
  <si>
    <t>35)</t>
  </si>
  <si>
    <t>RIH w/ wireline and cut production casing @ 715'</t>
  </si>
  <si>
    <t xml:space="preserve">Circulate a MINIMUM of 2 bottoms up volume 69 or until well is free of oil, gas or any large cuttings. </t>
  </si>
  <si>
    <t>RIH w/ workstring to 765' (inside 4 1/2'' casing)</t>
  </si>
  <si>
    <t xml:space="preserve">Pump 10 bbls Mud Flush (or similar spacer) followed by 105 sx of cement as a balanced plug. </t>
  </si>
  <si>
    <t xml:space="preserve">RIH w/workstring to 465' </t>
  </si>
  <si>
    <t xml:space="preserve">Pump 145 sx of Class G Neat Cmt. </t>
  </si>
</sst>
</file>

<file path=xl/styles.xml><?xml version="1.0" encoding="utf-8"?>
<styleSheet xmlns="http://schemas.openxmlformats.org/spreadsheetml/2006/main">
  <numFmts count="4">
    <numFmt numFmtId="164" formatCode="&quot;$&quot;#,##0\ ;\(&quot;$&quot;#,##0\)"/>
    <numFmt numFmtId="165" formatCode="0.000"/>
    <numFmt numFmtId="166" formatCode="0.0000"/>
    <numFmt numFmtId="167" formatCode="0.00000"/>
  </numFmts>
  <fonts count="8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4"/>
      <name val="Arial"/>
      <family val="2"/>
    </font>
    <font>
      <b/>
      <sz val="10"/>
      <color rgb="FFFF0000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2" fillId="0" borderId="0"/>
  </cellStyleXfs>
  <cellXfs count="68">
    <xf numFmtId="0" fontId="0" fillId="0" borderId="0" xfId="0"/>
    <xf numFmtId="0" fontId="2" fillId="0" borderId="0" xfId="5"/>
    <xf numFmtId="0" fontId="2" fillId="0" borderId="0" xfId="5" applyFont="1"/>
    <xf numFmtId="0" fontId="2" fillId="0" borderId="0" xfId="0" applyFont="1" applyFill="1"/>
    <xf numFmtId="0" fontId="1" fillId="0" borderId="0" xfId="0" applyFont="1" applyFill="1"/>
    <xf numFmtId="0" fontId="0" fillId="0" borderId="0" xfId="0" applyFill="1"/>
    <xf numFmtId="0" fontId="0" fillId="0" borderId="0" xfId="0" applyFill="1" applyAlignment="1">
      <alignment horizontal="right"/>
    </xf>
    <xf numFmtId="0" fontId="2" fillId="0" borderId="0" xfId="0" applyFont="1" applyFill="1" applyAlignment="1">
      <alignment horizontal="right"/>
    </xf>
    <xf numFmtId="0" fontId="3" fillId="0" borderId="0" xfId="0" applyFont="1" applyFill="1"/>
    <xf numFmtId="0" fontId="1" fillId="0" borderId="0" xfId="5" applyFont="1" applyAlignment="1">
      <alignment horizontal="center"/>
    </xf>
    <xf numFmtId="0" fontId="6" fillId="0" borderId="1" xfId="5" applyFont="1" applyBorder="1"/>
    <xf numFmtId="0" fontId="4" fillId="2" borderId="1" xfId="5" applyFont="1" applyFill="1" applyBorder="1"/>
    <xf numFmtId="0" fontId="4" fillId="0" borderId="1" xfId="5" applyFont="1" applyBorder="1"/>
    <xf numFmtId="12" fontId="1" fillId="0" borderId="0" xfId="5" applyNumberFormat="1" applyFont="1" applyAlignment="1">
      <alignment horizontal="center"/>
    </xf>
    <xf numFmtId="0" fontId="2" fillId="0" borderId="0" xfId="5" applyAlignment="1">
      <alignment horizontal="center"/>
    </xf>
    <xf numFmtId="12" fontId="2" fillId="0" borderId="0" xfId="5" applyNumberFormat="1" applyAlignment="1">
      <alignment horizontal="center"/>
    </xf>
    <xf numFmtId="2" fontId="4" fillId="3" borderId="1" xfId="5" applyNumberFormat="1" applyFont="1" applyFill="1" applyBorder="1"/>
    <xf numFmtId="0" fontId="4" fillId="0" borderId="0" xfId="5" applyFont="1"/>
    <xf numFmtId="0" fontId="1" fillId="0" borderId="1" xfId="5" applyFont="1" applyBorder="1" applyAlignment="1">
      <alignment horizontal="center" vertical="center"/>
    </xf>
    <xf numFmtId="2" fontId="2" fillId="0" borderId="1" xfId="5" applyNumberFormat="1" applyFont="1" applyBorder="1"/>
    <xf numFmtId="165" fontId="2" fillId="0" borderId="1" xfId="5" applyNumberFormat="1" applyFont="1" applyBorder="1"/>
    <xf numFmtId="2" fontId="2" fillId="4" borderId="1" xfId="5" applyNumberFormat="1" applyFont="1" applyFill="1" applyBorder="1"/>
    <xf numFmtId="165" fontId="2" fillId="4" borderId="1" xfId="5" applyNumberFormat="1" applyFont="1" applyFill="1" applyBorder="1"/>
    <xf numFmtId="0" fontId="0" fillId="0" borderId="0" xfId="0" applyFont="1" applyFill="1"/>
    <xf numFmtId="0" fontId="3" fillId="0" borderId="0" xfId="0" applyFont="1" applyFill="1" applyAlignment="1">
      <alignment horizontal="right"/>
    </xf>
    <xf numFmtId="0" fontId="5" fillId="0" borderId="0" xfId="0" applyFont="1" applyFill="1" applyAlignment="1">
      <alignment horizontal="centerContinuous"/>
    </xf>
    <xf numFmtId="0" fontId="3" fillId="0" borderId="0" xfId="0" applyFont="1" applyFill="1" applyAlignment="1">
      <alignment horizontal="centerContinuous"/>
    </xf>
    <xf numFmtId="0" fontId="2" fillId="0" borderId="0" xfId="0" applyFont="1" applyFill="1" applyAlignment="1">
      <alignment horizontal="left"/>
    </xf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4" xfId="0" applyNumberFormat="1" applyFill="1" applyBorder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0" xfId="0" applyAlignment="1">
      <alignment horizontal="right"/>
    </xf>
    <xf numFmtId="166" fontId="0" fillId="0" borderId="4" xfId="0" applyNumberFormat="1" applyBorder="1" applyAlignment="1">
      <alignment horizontal="center" vertical="center"/>
    </xf>
    <xf numFmtId="1" fontId="2" fillId="0" borderId="4" xfId="5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" fontId="2" fillId="0" borderId="2" xfId="5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1" fontId="7" fillId="0" borderId="0" xfId="0" applyNumberFormat="1" applyFont="1" applyBorder="1" applyAlignment="1">
      <alignment horizontal="center"/>
    </xf>
    <xf numFmtId="1" fontId="7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1" fontId="0" fillId="0" borderId="2" xfId="0" applyNumberFormat="1" applyBorder="1" applyAlignment="1">
      <alignment horizontal="center"/>
    </xf>
    <xf numFmtId="1" fontId="0" fillId="0" borderId="2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right"/>
    </xf>
    <xf numFmtId="0" fontId="0" fillId="0" borderId="1" xfId="0" applyBorder="1" applyAlignment="1">
      <alignment horizontal="center" vertical="center"/>
    </xf>
    <xf numFmtId="1" fontId="0" fillId="0" borderId="3" xfId="0" applyNumberFormat="1" applyBorder="1" applyAlignment="1">
      <alignment horizontal="center"/>
    </xf>
    <xf numFmtId="1" fontId="0" fillId="0" borderId="3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165" fontId="2" fillId="0" borderId="2" xfId="5" applyNumberFormat="1" applyFont="1" applyBorder="1" applyAlignment="1">
      <alignment horizontal="center" vertical="center"/>
    </xf>
    <xf numFmtId="165" fontId="2" fillId="0" borderId="3" xfId="5" applyNumberFormat="1" applyFont="1" applyBorder="1" applyAlignment="1">
      <alignment horizontal="center" vertical="center"/>
    </xf>
    <xf numFmtId="165" fontId="2" fillId="0" borderId="4" xfId="5" applyNumberFormat="1" applyFont="1" applyBorder="1" applyAlignment="1">
      <alignment horizontal="center" vertical="center"/>
    </xf>
  </cellXfs>
  <cellStyles count="6">
    <cellStyle name="Comma0" xfId="1"/>
    <cellStyle name="Currency0" xfId="2"/>
    <cellStyle name="Date" xfId="3"/>
    <cellStyle name="Fixed" xfId="4"/>
    <cellStyle name="Normal" xfId="0" builtinId="0"/>
    <cellStyle name="Normal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4"/>
  <sheetViews>
    <sheetView tabSelected="1" zoomScaleNormal="100" workbookViewId="0">
      <selection activeCell="N34" sqref="N34"/>
    </sheetView>
  </sheetViews>
  <sheetFormatPr defaultColWidth="10.28515625" defaultRowHeight="12.75"/>
  <cols>
    <col min="1" max="1" width="13.42578125" customWidth="1"/>
    <col min="2" max="2" width="13.7109375" customWidth="1"/>
    <col min="3" max="3" width="12.28515625" customWidth="1"/>
    <col min="4" max="5" width="13.7109375" customWidth="1"/>
    <col min="6" max="6" width="18.28515625" bestFit="1" customWidth="1"/>
    <col min="7" max="8" width="13.7109375" customWidth="1"/>
    <col min="9" max="9" width="11.85546875" style="5" customWidth="1"/>
    <col min="10" max="10" width="13.7109375" style="5" customWidth="1"/>
    <col min="11" max="16384" width="10.28515625" style="5"/>
  </cols>
  <sheetData>
    <row r="1" spans="1:12">
      <c r="A1" s="5"/>
      <c r="B1" s="5"/>
      <c r="C1" s="5"/>
      <c r="D1" s="5"/>
      <c r="E1" s="5"/>
      <c r="F1" s="5"/>
      <c r="G1" s="5"/>
      <c r="H1" s="5"/>
    </row>
    <row r="2" spans="1:12">
      <c r="A2" s="4" t="s">
        <v>0</v>
      </c>
      <c r="B2" s="5"/>
      <c r="C2" s="5"/>
      <c r="D2" s="5"/>
      <c r="E2" s="5"/>
      <c r="F2" s="5"/>
      <c r="G2" s="5"/>
      <c r="H2" s="5"/>
    </row>
    <row r="3" spans="1:12" s="8" customFormat="1">
      <c r="A3" s="6" t="s">
        <v>1</v>
      </c>
      <c r="B3" s="3" t="s">
        <v>23</v>
      </c>
      <c r="E3" s="25"/>
      <c r="F3" s="26"/>
      <c r="G3" s="26"/>
      <c r="H3" s="26"/>
    </row>
    <row r="4" spans="1:12" s="8" customFormat="1">
      <c r="A4" s="24"/>
      <c r="B4" s="3" t="s">
        <v>24</v>
      </c>
    </row>
    <row r="5" spans="1:12">
      <c r="A5" s="6"/>
      <c r="B5" s="3"/>
      <c r="C5" s="5"/>
      <c r="D5" s="5"/>
      <c r="E5" s="5"/>
      <c r="F5" s="5"/>
      <c r="G5" s="5"/>
      <c r="H5" s="5"/>
    </row>
    <row r="6" spans="1:12">
      <c r="A6" s="6" t="s">
        <v>2</v>
      </c>
      <c r="B6" s="3" t="s">
        <v>25</v>
      </c>
      <c r="C6" s="5"/>
      <c r="D6" s="5"/>
      <c r="E6" s="5"/>
      <c r="F6" s="5"/>
      <c r="G6" s="5"/>
      <c r="H6" s="5"/>
    </row>
    <row r="7" spans="1:12">
      <c r="A7" s="6"/>
      <c r="B7" s="3"/>
      <c r="C7" s="5"/>
      <c r="D7" s="5"/>
      <c r="E7" s="5"/>
      <c r="F7" s="5"/>
      <c r="G7" s="5"/>
      <c r="H7" s="5"/>
    </row>
    <row r="8" spans="1:12" s="8" customFormat="1">
      <c r="A8" s="6" t="s">
        <v>3</v>
      </c>
      <c r="B8" s="3" t="s">
        <v>26</v>
      </c>
    </row>
    <row r="9" spans="1:12" s="8" customFormat="1">
      <c r="A9" s="24"/>
      <c r="B9" s="3"/>
    </row>
    <row r="10" spans="1:12" s="8" customFormat="1">
      <c r="A10" s="6" t="s">
        <v>4</v>
      </c>
      <c r="B10" s="3" t="s">
        <v>27</v>
      </c>
    </row>
    <row r="11" spans="1:12">
      <c r="A11" s="6"/>
      <c r="B11" s="3"/>
      <c r="C11" s="5"/>
      <c r="D11" s="5"/>
      <c r="E11" s="5"/>
      <c r="F11" s="5"/>
      <c r="G11" s="5"/>
      <c r="H11" s="5"/>
      <c r="L11" s="3"/>
    </row>
    <row r="12" spans="1:12">
      <c r="A12" s="6" t="s">
        <v>5</v>
      </c>
      <c r="B12" s="3" t="s">
        <v>88</v>
      </c>
      <c r="C12" s="5"/>
      <c r="D12" s="5"/>
      <c r="E12" s="5"/>
      <c r="F12" s="5"/>
      <c r="G12" s="5"/>
      <c r="H12" s="5"/>
    </row>
    <row r="13" spans="1:12">
      <c r="A13" s="6"/>
      <c r="B13" s="3"/>
      <c r="C13" s="5"/>
      <c r="D13" s="5"/>
      <c r="E13" s="5"/>
      <c r="F13" s="5"/>
      <c r="G13" s="5"/>
      <c r="H13" s="5"/>
      <c r="L13" s="23"/>
    </row>
    <row r="14" spans="1:12">
      <c r="A14" s="7" t="s">
        <v>6</v>
      </c>
      <c r="B14" s="3" t="s">
        <v>89</v>
      </c>
      <c r="C14" s="5"/>
      <c r="D14" s="5"/>
      <c r="E14" s="5"/>
      <c r="F14" s="5"/>
      <c r="G14" s="5"/>
      <c r="H14" s="5"/>
      <c r="I14" s="8"/>
    </row>
    <row r="15" spans="1:12">
      <c r="A15" s="6"/>
      <c r="B15" s="3"/>
      <c r="C15" s="5"/>
      <c r="D15" s="5"/>
      <c r="E15" s="5"/>
      <c r="F15" s="5"/>
      <c r="G15" s="5"/>
      <c r="H15" s="5"/>
      <c r="I15" s="8"/>
    </row>
    <row r="16" spans="1:12">
      <c r="A16" s="7" t="s">
        <v>7</v>
      </c>
      <c r="B16" s="3" t="s">
        <v>28</v>
      </c>
      <c r="C16" s="5"/>
      <c r="D16" s="5"/>
      <c r="E16" s="5"/>
      <c r="F16" s="5"/>
      <c r="G16" s="5"/>
      <c r="H16" s="5"/>
      <c r="I16" s="8"/>
    </row>
    <row r="17" spans="1:10">
      <c r="A17" s="6"/>
      <c r="B17" s="3" t="s">
        <v>90</v>
      </c>
      <c r="C17" s="5"/>
      <c r="D17" s="5"/>
      <c r="E17" s="5"/>
      <c r="F17" s="5"/>
      <c r="G17" s="5"/>
      <c r="H17" s="5"/>
      <c r="I17" s="8"/>
    </row>
    <row r="18" spans="1:10">
      <c r="A18" s="6"/>
      <c r="B18" s="3"/>
      <c r="C18" s="5"/>
      <c r="D18" s="5"/>
      <c r="E18" s="5"/>
      <c r="F18" s="5"/>
      <c r="G18" s="5"/>
      <c r="H18" s="5"/>
      <c r="I18" s="8"/>
    </row>
    <row r="19" spans="1:10" s="8" customFormat="1">
      <c r="A19" s="7" t="s">
        <v>78</v>
      </c>
      <c r="B19" s="3" t="s">
        <v>29</v>
      </c>
    </row>
    <row r="20" spans="1:10" s="8" customFormat="1">
      <c r="A20" s="6"/>
      <c r="B20" s="3" t="s">
        <v>30</v>
      </c>
    </row>
    <row r="21" spans="1:10" s="8" customFormat="1">
      <c r="B21" s="3"/>
    </row>
    <row r="22" spans="1:10" s="8" customFormat="1">
      <c r="A22" s="7" t="s">
        <v>79</v>
      </c>
      <c r="B22" s="3" t="s">
        <v>92</v>
      </c>
      <c r="C22" s="27"/>
      <c r="D22" s="27"/>
      <c r="E22" s="27"/>
      <c r="F22" s="27"/>
      <c r="G22" s="27"/>
      <c r="H22" s="27"/>
      <c r="I22" s="28"/>
    </row>
    <row r="23" spans="1:10" s="8" customFormat="1">
      <c r="A23"/>
      <c r="B23" s="3" t="s">
        <v>91</v>
      </c>
      <c r="C23" s="27"/>
      <c r="D23" s="27"/>
      <c r="E23" s="27"/>
      <c r="F23" s="27"/>
      <c r="G23" s="27"/>
      <c r="H23" s="27"/>
      <c r="I23" s="28"/>
    </row>
    <row r="24" spans="1:10" s="8" customFormat="1">
      <c r="C24" s="29" t="s">
        <v>45</v>
      </c>
      <c r="D24" s="30" t="s">
        <v>52</v>
      </c>
      <c r="E24" s="30" t="s">
        <v>53</v>
      </c>
      <c r="F24" s="29" t="s">
        <v>54</v>
      </c>
      <c r="G24" s="29" t="s">
        <v>46</v>
      </c>
      <c r="H24" s="29" t="s">
        <v>47</v>
      </c>
      <c r="I24" s="31" t="s">
        <v>48</v>
      </c>
      <c r="J24" s="31" t="s">
        <v>55</v>
      </c>
    </row>
    <row r="25" spans="1:10" s="8" customFormat="1">
      <c r="C25" s="32">
        <v>450</v>
      </c>
      <c r="D25" s="33">
        <v>4</v>
      </c>
      <c r="E25" s="33">
        <v>0</v>
      </c>
      <c r="F25" s="34">
        <f>(D25^2-E25^2)*0.005454</f>
        <v>8.7263999999999994E-2</v>
      </c>
      <c r="G25" s="35">
        <f>C25*F25</f>
        <v>39.268799999999999</v>
      </c>
      <c r="H25" s="34">
        <v>1.1499999999999999</v>
      </c>
      <c r="I25" s="35">
        <f>G25/H25</f>
        <v>34.146782608695652</v>
      </c>
      <c r="J25" s="36">
        <f>CEILING(I25,5)</f>
        <v>35</v>
      </c>
    </row>
    <row r="26" spans="1:10" s="8" customFormat="1"/>
    <row r="27" spans="1:10" s="8" customFormat="1">
      <c r="A27" s="7" t="s">
        <v>22</v>
      </c>
      <c r="B27" s="3" t="s">
        <v>83</v>
      </c>
      <c r="C27" s="5"/>
      <c r="D27" s="5"/>
      <c r="E27" s="5"/>
    </row>
    <row r="28" spans="1:10">
      <c r="A28" s="24"/>
      <c r="B28" s="3"/>
      <c r="C28" s="5"/>
      <c r="D28" s="5"/>
      <c r="E28" s="5"/>
      <c r="F28" s="5"/>
      <c r="G28" s="5"/>
      <c r="H28" s="5"/>
      <c r="I28" s="8"/>
    </row>
    <row r="29" spans="1:10">
      <c r="A29" s="7" t="s">
        <v>31</v>
      </c>
      <c r="B29" s="28" t="s">
        <v>57</v>
      </c>
      <c r="C29" s="5"/>
      <c r="D29" s="5"/>
      <c r="E29" s="5"/>
      <c r="F29" s="5"/>
      <c r="G29" s="5"/>
      <c r="H29" s="5"/>
    </row>
    <row r="30" spans="1:10">
      <c r="A30" s="5"/>
      <c r="F30" s="5"/>
      <c r="G30" s="5"/>
      <c r="H30" s="5"/>
    </row>
    <row r="31" spans="1:10">
      <c r="A31" s="52" t="s">
        <v>32</v>
      </c>
      <c r="B31" s="3" t="s">
        <v>84</v>
      </c>
      <c r="C31" s="5"/>
      <c r="D31" s="5"/>
      <c r="E31" s="5"/>
      <c r="F31" s="5"/>
      <c r="G31" s="5"/>
      <c r="H31" s="5"/>
    </row>
    <row r="32" spans="1:10" s="8" customFormat="1"/>
    <row r="33" spans="1:10" s="8" customFormat="1">
      <c r="A33" s="7" t="s">
        <v>75</v>
      </c>
      <c r="B33" s="28" t="s">
        <v>81</v>
      </c>
    </row>
    <row r="34" spans="1:10" s="8" customFormat="1">
      <c r="B34" s="28" t="s">
        <v>82</v>
      </c>
    </row>
    <row r="35" spans="1:10" s="8" customFormat="1"/>
    <row r="36" spans="1:10" s="8" customFormat="1">
      <c r="A36" s="60" t="s">
        <v>33</v>
      </c>
      <c r="B36" s="3" t="s">
        <v>93</v>
      </c>
      <c r="C36" s="3"/>
      <c r="D36" s="3"/>
      <c r="E36" s="3"/>
      <c r="F36" s="3"/>
      <c r="G36" s="3"/>
      <c r="H36" s="3"/>
      <c r="I36"/>
    </row>
    <row r="37" spans="1:10" s="8" customFormat="1">
      <c r="A37" s="7"/>
      <c r="B37" s="3"/>
      <c r="C37" s="3"/>
      <c r="D37" s="3"/>
      <c r="E37" s="3"/>
      <c r="F37" s="3"/>
      <c r="G37" s="3"/>
      <c r="H37" s="3"/>
      <c r="I37"/>
    </row>
    <row r="38" spans="1:10" s="8" customFormat="1">
      <c r="B38" s="41" t="s">
        <v>69</v>
      </c>
      <c r="C38" s="29" t="s">
        <v>45</v>
      </c>
      <c r="D38" s="30" t="s">
        <v>52</v>
      </c>
      <c r="E38" s="30" t="s">
        <v>53</v>
      </c>
      <c r="F38" s="29" t="s">
        <v>54</v>
      </c>
      <c r="G38" s="29" t="s">
        <v>46</v>
      </c>
      <c r="H38" s="29" t="s">
        <v>47</v>
      </c>
      <c r="I38" s="31" t="s">
        <v>48</v>
      </c>
      <c r="J38" s="31" t="s">
        <v>55</v>
      </c>
    </row>
    <row r="39" spans="1:10" s="8" customFormat="1">
      <c r="B39" s="41"/>
      <c r="C39" s="30">
        <v>500</v>
      </c>
      <c r="D39" s="37">
        <v>9</v>
      </c>
      <c r="E39" s="37">
        <v>4.5</v>
      </c>
      <c r="F39" s="38">
        <f>(D39^2-E39^2)*0.005454</f>
        <v>0.33133049999999997</v>
      </c>
      <c r="G39" s="39">
        <f>C39*F39</f>
        <v>165.66524999999999</v>
      </c>
      <c r="H39" s="38">
        <v>1.1499999999999999</v>
      </c>
      <c r="I39" s="39">
        <f>G39/H39</f>
        <v>144.05673913043478</v>
      </c>
      <c r="J39" s="40">
        <f>CEILING(I39,5)</f>
        <v>145</v>
      </c>
    </row>
    <row r="40" spans="1:10" s="8" customFormat="1">
      <c r="B40" s="41"/>
      <c r="C40" s="30">
        <v>100</v>
      </c>
      <c r="D40" s="37">
        <v>4</v>
      </c>
      <c r="E40" s="37">
        <v>0</v>
      </c>
      <c r="F40" s="38">
        <f t="shared" ref="F40" si="0">(D40^2-E40^2)*0.005454</f>
        <v>8.7263999999999994E-2</v>
      </c>
      <c r="G40" s="39">
        <f>C40*F40</f>
        <v>8.7263999999999999</v>
      </c>
      <c r="H40" s="38">
        <v>1.1499999999999999</v>
      </c>
      <c r="I40" s="39">
        <f>G40/H40</f>
        <v>7.5881739130434784</v>
      </c>
      <c r="J40" s="40">
        <f>CEILING(I40,5)</f>
        <v>10</v>
      </c>
    </row>
    <row r="41" spans="1:10" s="8" customFormat="1">
      <c r="B41" s="41"/>
      <c r="C41" s="64" t="s">
        <v>70</v>
      </c>
      <c r="D41" s="64"/>
      <c r="E41" s="64"/>
      <c r="F41" s="64"/>
      <c r="G41" s="39">
        <f>2*5.6146</f>
        <v>11.229200000000001</v>
      </c>
      <c r="H41" s="38">
        <v>1.1499999999999999</v>
      </c>
      <c r="I41" s="39">
        <f>G41/H41</f>
        <v>9.7645217391304353</v>
      </c>
      <c r="J41" s="40">
        <f>CEILING(I41,5)</f>
        <v>10</v>
      </c>
    </row>
    <row r="42" spans="1:10" s="8" customFormat="1" ht="15">
      <c r="B42" s="41"/>
      <c r="C42" s="55"/>
      <c r="D42" s="55"/>
      <c r="E42" s="46"/>
      <c r="F42" s="56"/>
      <c r="G42" s="46"/>
      <c r="H42" s="56"/>
      <c r="I42" s="48" t="s">
        <v>49</v>
      </c>
      <c r="J42" s="49">
        <f>SUM(J39:J41)</f>
        <v>165</v>
      </c>
    </row>
    <row r="43" spans="1:10" s="8" customFormat="1" ht="15">
      <c r="B43" s="41"/>
      <c r="C43" s="55"/>
      <c r="D43" s="55"/>
      <c r="E43" s="46"/>
      <c r="F43" s="56"/>
      <c r="G43" s="46"/>
      <c r="H43" s="56"/>
      <c r="I43" s="50"/>
      <c r="J43" s="51"/>
    </row>
    <row r="44" spans="1:10" s="8" customFormat="1" ht="15">
      <c r="A44" s="7" t="s">
        <v>34</v>
      </c>
      <c r="B44" s="3" t="s">
        <v>80</v>
      </c>
      <c r="C44" s="55"/>
      <c r="D44" s="46"/>
      <c r="E44" s="56"/>
      <c r="F44" s="46"/>
      <c r="G44" s="56"/>
      <c r="H44" s="50"/>
      <c r="I44" s="51"/>
    </row>
    <row r="45" spans="1:10" s="8" customFormat="1" ht="15">
      <c r="A45" s="41"/>
      <c r="C45" s="41" t="s">
        <v>71</v>
      </c>
      <c r="D45" s="29" t="s">
        <v>72</v>
      </c>
      <c r="E45" s="29" t="s">
        <v>45</v>
      </c>
      <c r="F45" s="29" t="s">
        <v>73</v>
      </c>
      <c r="G45" s="29" t="s">
        <v>56</v>
      </c>
      <c r="H45" s="29" t="s">
        <v>74</v>
      </c>
      <c r="I45" s="51"/>
    </row>
    <row r="46" spans="1:10" s="8" customFormat="1" ht="15">
      <c r="A46" s="41"/>
      <c r="C46" s="41"/>
      <c r="D46" s="29">
        <v>1.9950000000000001</v>
      </c>
      <c r="E46" s="39">
        <v>2400</v>
      </c>
      <c r="F46" s="57">
        <f>D46^2*0.0009714</f>
        <v>3.8661962850000003E-3</v>
      </c>
      <c r="G46" s="39">
        <f>F46*E46</f>
        <v>9.2788710840000004</v>
      </c>
      <c r="H46" s="48">
        <f>G46-2</f>
        <v>7.2788710840000004</v>
      </c>
      <c r="I46" s="51"/>
    </row>
    <row r="47" spans="1:10" s="8" customFormat="1" ht="15">
      <c r="A47" s="41"/>
      <c r="B47" s="55"/>
      <c r="C47" s="55"/>
      <c r="D47" s="46"/>
      <c r="E47" s="56"/>
      <c r="F47" s="46"/>
      <c r="G47" s="56"/>
      <c r="H47" s="50"/>
      <c r="I47" s="51"/>
    </row>
    <row r="48" spans="1:10" s="8" customFormat="1" ht="15">
      <c r="A48" s="41" t="s">
        <v>35</v>
      </c>
      <c r="B48" s="3" t="s">
        <v>76</v>
      </c>
      <c r="D48" s="46"/>
      <c r="E48" s="56"/>
      <c r="F48" s="46"/>
      <c r="G48" s="56"/>
      <c r="H48" s="50"/>
      <c r="I48" s="51"/>
    </row>
    <row r="49" spans="1:9" s="8" customFormat="1" ht="15">
      <c r="A49" s="58"/>
      <c r="B49" s="59"/>
      <c r="D49" s="46"/>
      <c r="E49" s="56"/>
      <c r="F49" s="46"/>
      <c r="G49" s="56"/>
      <c r="H49" s="50"/>
      <c r="I49" s="51"/>
    </row>
    <row r="50" spans="1:9" s="8" customFormat="1" ht="15">
      <c r="A50" s="7" t="s">
        <v>36</v>
      </c>
      <c r="B50" s="3" t="s">
        <v>85</v>
      </c>
      <c r="D50" s="46"/>
      <c r="E50" s="56"/>
      <c r="F50" s="46"/>
      <c r="G50" s="56"/>
      <c r="H50" s="50"/>
      <c r="I50" s="51"/>
    </row>
    <row r="51" spans="1:9" s="8" customFormat="1" ht="15">
      <c r="A51" s="60"/>
      <c r="B51" s="3"/>
      <c r="D51" s="46"/>
      <c r="E51" s="56"/>
      <c r="F51" s="46"/>
      <c r="G51" s="56"/>
      <c r="H51" s="50"/>
      <c r="I51" s="51"/>
    </row>
    <row r="52" spans="1:9" s="8" customFormat="1" ht="15">
      <c r="A52" s="7" t="s">
        <v>37</v>
      </c>
      <c r="B52" s="3" t="s">
        <v>77</v>
      </c>
      <c r="D52" s="46"/>
      <c r="E52" s="56"/>
      <c r="F52" s="46"/>
      <c r="G52" s="56"/>
      <c r="H52" s="50"/>
      <c r="I52" s="51"/>
    </row>
    <row r="53" spans="1:9" s="8" customFormat="1" ht="15">
      <c r="B53" s="3"/>
      <c r="D53" s="46"/>
      <c r="E53" s="56"/>
      <c r="F53" s="46"/>
      <c r="G53" s="56"/>
      <c r="H53" s="50"/>
      <c r="I53" s="51"/>
    </row>
    <row r="54" spans="1:9">
      <c r="A54" s="7" t="s">
        <v>38</v>
      </c>
      <c r="B54" s="28" t="s">
        <v>101</v>
      </c>
    </row>
    <row r="56" spans="1:9">
      <c r="A56" s="41" t="s">
        <v>39</v>
      </c>
      <c r="B56" s="1" t="s">
        <v>102</v>
      </c>
      <c r="C56" s="1"/>
      <c r="D56" s="1"/>
    </row>
    <row r="57" spans="1:9">
      <c r="A57" s="41"/>
      <c r="B57" s="41" t="s">
        <v>58</v>
      </c>
      <c r="C57" s="61" t="s">
        <v>45</v>
      </c>
      <c r="D57" s="61" t="s">
        <v>52</v>
      </c>
      <c r="E57" s="61" t="s">
        <v>53</v>
      </c>
      <c r="F57" s="61" t="s">
        <v>59</v>
      </c>
      <c r="G57" s="61" t="s">
        <v>56</v>
      </c>
      <c r="H57" s="61" t="s">
        <v>60</v>
      </c>
    </row>
    <row r="58" spans="1:9">
      <c r="B58" s="41"/>
      <c r="C58" s="32">
        <v>515</v>
      </c>
      <c r="D58" s="33">
        <v>8.0969999999999995</v>
      </c>
      <c r="E58" s="33">
        <v>4.5</v>
      </c>
      <c r="F58" s="42">
        <f>(D58^2-E58^2)*0.0009714</f>
        <v>4.4015502702599997E-2</v>
      </c>
      <c r="G58" s="43">
        <f>F58*C58</f>
        <v>22.667983891838997</v>
      </c>
      <c r="H58" s="43">
        <f>G58*2</f>
        <v>45.335967783677994</v>
      </c>
    </row>
    <row r="59" spans="1:9">
      <c r="B59" s="41"/>
      <c r="C59" s="61">
        <v>200</v>
      </c>
      <c r="D59" s="37">
        <v>9</v>
      </c>
      <c r="E59" s="37">
        <v>4.5</v>
      </c>
      <c r="F59" s="44">
        <f t="shared" ref="F59" si="1">(D59^2-E59^2)*0.0009714</f>
        <v>5.9012549999999997E-2</v>
      </c>
      <c r="G59" s="45">
        <f t="shared" ref="G59" si="2">F59*C59</f>
        <v>11.80251</v>
      </c>
      <c r="H59" s="45">
        <f>G59*2</f>
        <v>23.60502</v>
      </c>
    </row>
    <row r="60" spans="1:9" ht="15">
      <c r="B60" s="41"/>
      <c r="E60" s="46"/>
      <c r="F60" s="47"/>
      <c r="G60" s="48" t="s">
        <v>49</v>
      </c>
      <c r="H60" s="49">
        <f>SUM(H58:H59)</f>
        <v>68.940987783677997</v>
      </c>
    </row>
    <row r="62" spans="1:9">
      <c r="A62" s="41" t="s">
        <v>40</v>
      </c>
      <c r="B62" s="1" t="s">
        <v>61</v>
      </c>
    </row>
    <row r="63" spans="1:9">
      <c r="A63" s="5"/>
      <c r="B63" s="1"/>
    </row>
    <row r="64" spans="1:9">
      <c r="A64" s="41" t="s">
        <v>41</v>
      </c>
      <c r="B64" s="1" t="s">
        <v>94</v>
      </c>
    </row>
    <row r="65" spans="1:10">
      <c r="A65" s="5"/>
      <c r="B65" s="23"/>
    </row>
    <row r="66" spans="1:10">
      <c r="A66" s="41" t="s">
        <v>42</v>
      </c>
      <c r="B66" s="3" t="s">
        <v>95</v>
      </c>
    </row>
    <row r="68" spans="1:10">
      <c r="A68" s="41" t="s">
        <v>43</v>
      </c>
      <c r="B68" s="28" t="s">
        <v>103</v>
      </c>
    </row>
    <row r="70" spans="1:10">
      <c r="A70" s="41" t="s">
        <v>44</v>
      </c>
      <c r="B70" t="s">
        <v>96</v>
      </c>
    </row>
    <row r="72" spans="1:10">
      <c r="A72" s="41" t="s">
        <v>65</v>
      </c>
      <c r="B72" s="28" t="s">
        <v>104</v>
      </c>
    </row>
    <row r="73" spans="1:10">
      <c r="A73" s="41"/>
      <c r="B73" s="28" t="s">
        <v>97</v>
      </c>
    </row>
    <row r="74" spans="1:10">
      <c r="A74" s="5"/>
      <c r="B74" s="41" t="s">
        <v>62</v>
      </c>
      <c r="C74" s="29" t="s">
        <v>45</v>
      </c>
      <c r="D74" s="61" t="s">
        <v>52</v>
      </c>
      <c r="E74" s="61" t="s">
        <v>53</v>
      </c>
      <c r="F74" s="29" t="s">
        <v>54</v>
      </c>
      <c r="G74" s="29" t="s">
        <v>46</v>
      </c>
      <c r="H74" s="29" t="s">
        <v>47</v>
      </c>
      <c r="I74" s="31" t="s">
        <v>48</v>
      </c>
      <c r="J74" s="31" t="s">
        <v>55</v>
      </c>
    </row>
    <row r="75" spans="1:10">
      <c r="A75" s="5"/>
      <c r="B75" s="41"/>
      <c r="C75" s="32">
        <v>50</v>
      </c>
      <c r="D75" s="33">
        <v>8.0969999999999995</v>
      </c>
      <c r="E75" s="33">
        <v>0</v>
      </c>
      <c r="F75" s="34">
        <f>(D75^2-E75^2)*0.005454</f>
        <v>0.35757192468599996</v>
      </c>
      <c r="G75" s="35">
        <f>C75*F75</f>
        <v>17.878596234299998</v>
      </c>
      <c r="H75" s="34">
        <v>1.1499999999999999</v>
      </c>
      <c r="I75" s="35">
        <f>G75/H75</f>
        <v>15.546605421130435</v>
      </c>
      <c r="J75" s="36">
        <f>CEILING(I75,5)</f>
        <v>20</v>
      </c>
    </row>
    <row r="76" spans="1:10">
      <c r="A76" s="5"/>
      <c r="B76" s="41"/>
      <c r="C76" s="61">
        <v>200</v>
      </c>
      <c r="D76" s="37">
        <v>9</v>
      </c>
      <c r="E76" s="37">
        <v>0</v>
      </c>
      <c r="F76" s="38">
        <f t="shared" ref="F76:F77" si="3">(D76^2-E76^2)*0.005454</f>
        <v>0.44177399999999994</v>
      </c>
      <c r="G76" s="39">
        <f>C76*F76</f>
        <v>88.354799999999983</v>
      </c>
      <c r="H76" s="38">
        <v>1.1499999999999999</v>
      </c>
      <c r="I76" s="39">
        <f>G76/H76</f>
        <v>76.830260869565208</v>
      </c>
      <c r="J76" s="40">
        <f>CEILING(I76,5)</f>
        <v>80</v>
      </c>
    </row>
    <row r="77" spans="1:10">
      <c r="A77" s="5"/>
      <c r="B77" s="41"/>
      <c r="C77" s="61">
        <v>50</v>
      </c>
      <c r="D77" s="37">
        <v>4</v>
      </c>
      <c r="E77" s="37">
        <v>0</v>
      </c>
      <c r="F77" s="38">
        <f t="shared" si="3"/>
        <v>8.7263999999999994E-2</v>
      </c>
      <c r="G77" s="39">
        <f>C77*F77</f>
        <v>4.3632</v>
      </c>
      <c r="H77" s="38">
        <v>1.1499999999999999</v>
      </c>
      <c r="I77" s="53">
        <f>G77/H77</f>
        <v>3.7940869565217392</v>
      </c>
      <c r="J77" s="54">
        <f>CEILING(I77,5)</f>
        <v>5</v>
      </c>
    </row>
    <row r="78" spans="1:10" ht="15">
      <c r="A78" s="5"/>
      <c r="B78" s="41"/>
      <c r="C78" s="55"/>
      <c r="D78" s="55"/>
      <c r="E78" s="56"/>
      <c r="F78" s="56"/>
      <c r="G78" s="46"/>
      <c r="H78" s="56"/>
      <c r="I78" s="48" t="s">
        <v>49</v>
      </c>
      <c r="J78" s="49">
        <f>SUM(J75:J77)</f>
        <v>105</v>
      </c>
    </row>
    <row r="80" spans="1:10">
      <c r="A80" s="52" t="s">
        <v>86</v>
      </c>
      <c r="B80" t="s">
        <v>63</v>
      </c>
    </row>
    <row r="81" spans="1:10">
      <c r="B81" t="s">
        <v>64</v>
      </c>
    </row>
    <row r="83" spans="1:10">
      <c r="A83" s="52" t="s">
        <v>87</v>
      </c>
      <c r="B83" s="28" t="s">
        <v>105</v>
      </c>
    </row>
    <row r="85" spans="1:10">
      <c r="A85" s="5">
        <v>32</v>
      </c>
      <c r="B85" s="28" t="s">
        <v>106</v>
      </c>
    </row>
    <row r="86" spans="1:10">
      <c r="A86" s="5"/>
      <c r="B86" s="41" t="s">
        <v>62</v>
      </c>
      <c r="C86" s="29" t="s">
        <v>45</v>
      </c>
      <c r="D86" s="61" t="s">
        <v>52</v>
      </c>
      <c r="E86" s="61" t="s">
        <v>53</v>
      </c>
      <c r="F86" s="29" t="s">
        <v>54</v>
      </c>
      <c r="G86" s="29" t="s">
        <v>46</v>
      </c>
      <c r="H86" s="29" t="s">
        <v>47</v>
      </c>
      <c r="I86" s="31" t="s">
        <v>48</v>
      </c>
      <c r="J86" s="31" t="s">
        <v>55</v>
      </c>
    </row>
    <row r="87" spans="1:10">
      <c r="A87" s="5"/>
      <c r="B87" s="41"/>
      <c r="C87" s="32">
        <v>465</v>
      </c>
      <c r="D87" s="33">
        <v>8.0969999999999995</v>
      </c>
      <c r="E87" s="33">
        <v>0</v>
      </c>
      <c r="F87" s="34">
        <f t="shared" ref="F87" si="4">(D87^2-E87^2)*0.005454</f>
        <v>0.35757192468599996</v>
      </c>
      <c r="G87" s="35">
        <f>C87*F87</f>
        <v>166.27094497898997</v>
      </c>
      <c r="H87" s="34">
        <v>1.1499999999999999</v>
      </c>
      <c r="I87" s="62">
        <f>G87/H87</f>
        <v>144.58343041651304</v>
      </c>
      <c r="J87" s="63">
        <f>CEILING(I87,5)</f>
        <v>145</v>
      </c>
    </row>
    <row r="88" spans="1:10" ht="15">
      <c r="A88" s="5"/>
      <c r="B88" s="41"/>
      <c r="C88" s="55"/>
      <c r="D88" s="55"/>
      <c r="E88" s="46"/>
      <c r="F88" s="56"/>
      <c r="G88" s="46"/>
      <c r="H88" s="56"/>
      <c r="I88" s="48" t="s">
        <v>49</v>
      </c>
      <c r="J88" s="49">
        <f>SUM(J87:J87)</f>
        <v>145</v>
      </c>
    </row>
    <row r="90" spans="1:10">
      <c r="A90" s="7" t="s">
        <v>98</v>
      </c>
      <c r="B90" s="28" t="s">
        <v>66</v>
      </c>
    </row>
    <row r="91" spans="1:10">
      <c r="A91" s="41"/>
    </row>
    <row r="92" spans="1:10">
      <c r="A92" s="52" t="s">
        <v>99</v>
      </c>
      <c r="B92" s="28" t="s">
        <v>67</v>
      </c>
    </row>
    <row r="93" spans="1:10">
      <c r="A93" s="41"/>
    </row>
    <row r="94" spans="1:10">
      <c r="A94" s="7" t="s">
        <v>100</v>
      </c>
      <c r="B94" s="28" t="s">
        <v>68</v>
      </c>
    </row>
  </sheetData>
  <mergeCells count="1">
    <mergeCell ref="C41:F41"/>
  </mergeCells>
  <printOptions horizontalCentered="1"/>
  <pageMargins left="0.25" right="0.26" top="0.34" bottom="0.33" header="0.28000000000000003" footer="0.22"/>
  <pageSetup scale="83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6"/>
  <sheetViews>
    <sheetView workbookViewId="0">
      <selection activeCell="B8" sqref="B8"/>
    </sheetView>
  </sheetViews>
  <sheetFormatPr defaultRowHeight="12.75"/>
  <cols>
    <col min="1" max="1" width="16.7109375" style="1" bestFit="1" customWidth="1"/>
    <col min="2" max="2" width="9.85546875" style="1" bestFit="1" customWidth="1"/>
    <col min="3" max="3" width="11.7109375" style="1" bestFit="1" customWidth="1"/>
    <col min="4" max="16384" width="9.140625" style="1"/>
  </cols>
  <sheetData>
    <row r="1" spans="1:11" ht="18">
      <c r="A1" s="10" t="s">
        <v>9</v>
      </c>
      <c r="B1" s="11">
        <v>8.0969999999999995</v>
      </c>
      <c r="C1" s="12" t="s">
        <v>10</v>
      </c>
    </row>
    <row r="2" spans="1:11" ht="18">
      <c r="A2" s="10" t="s">
        <v>11</v>
      </c>
      <c r="B2" s="11">
        <v>456</v>
      </c>
      <c r="C2" s="12" t="s">
        <v>12</v>
      </c>
      <c r="D2" s="9"/>
      <c r="E2" s="1">
        <f>E4/5.615</f>
        <v>6.3683350918112364E-2</v>
      </c>
      <c r="F2" s="13"/>
      <c r="G2" s="13"/>
      <c r="H2" s="14"/>
      <c r="I2" s="14"/>
      <c r="J2" s="14"/>
      <c r="K2" s="14"/>
    </row>
    <row r="3" spans="1:11" ht="18">
      <c r="A3" s="10" t="s">
        <v>13</v>
      </c>
      <c r="B3" s="11">
        <v>1.1499999999999999</v>
      </c>
      <c r="C3" s="12" t="s">
        <v>14</v>
      </c>
      <c r="D3" s="14"/>
      <c r="F3" s="15"/>
      <c r="G3" s="14"/>
      <c r="H3" s="14"/>
      <c r="I3" s="14"/>
      <c r="J3" s="14"/>
      <c r="K3" s="14"/>
    </row>
    <row r="4" spans="1:11" ht="18">
      <c r="A4" s="10" t="s">
        <v>15</v>
      </c>
      <c r="B4" s="16">
        <f>((PI()*(((B1/12)/2)^2))*B2)/B3</f>
        <v>141.7890426302362</v>
      </c>
      <c r="C4" s="12" t="s">
        <v>16</v>
      </c>
      <c r="E4" s="1">
        <f>((PI()*(((B1/12)/2)^2)))</f>
        <v>0.3575820154052009</v>
      </c>
      <c r="F4" s="1">
        <f>E4*B2</f>
        <v>163.0573990247716</v>
      </c>
      <c r="G4" s="1">
        <f>F4/B3</f>
        <v>141.7890426302362</v>
      </c>
    </row>
    <row r="5" spans="1:11" ht="18">
      <c r="A5" s="17"/>
      <c r="B5" s="17"/>
      <c r="C5" s="17"/>
    </row>
    <row r="6" spans="1:11" ht="18">
      <c r="A6" s="10" t="s">
        <v>17</v>
      </c>
      <c r="B6" s="11">
        <v>4.5</v>
      </c>
      <c r="C6" s="12" t="s">
        <v>10</v>
      </c>
    </row>
    <row r="7" spans="1:11" ht="18">
      <c r="A7" s="10" t="s">
        <v>18</v>
      </c>
      <c r="B7" s="11">
        <v>7.875</v>
      </c>
      <c r="C7" s="12" t="s">
        <v>10</v>
      </c>
      <c r="F7" s="1">
        <f>E8</f>
        <v>4.0569215850581958E-2</v>
      </c>
    </row>
    <row r="8" spans="1:11" ht="18">
      <c r="A8" s="10" t="s">
        <v>11</v>
      </c>
      <c r="B8" s="11">
        <v>959.19093837449248</v>
      </c>
      <c r="C8" s="12" t="s">
        <v>12</v>
      </c>
      <c r="E8" s="1">
        <f>E10/5.615</f>
        <v>4.0569215850581958E-2</v>
      </c>
      <c r="H8" s="2"/>
      <c r="I8" s="1">
        <f>E8*500</f>
        <v>20.284607925290977</v>
      </c>
    </row>
    <row r="9" spans="1:11" ht="18">
      <c r="A9" s="10" t="s">
        <v>13</v>
      </c>
      <c r="B9" s="11">
        <v>1.1499999999999999</v>
      </c>
      <c r="C9" s="12" t="s">
        <v>14</v>
      </c>
      <c r="E9" s="1" t="s">
        <v>51</v>
      </c>
      <c r="F9" s="1" t="s">
        <v>50</v>
      </c>
      <c r="G9" s="1" t="s">
        <v>8</v>
      </c>
      <c r="I9" s="1">
        <f>I8*5.615</f>
        <v>113.89807350050884</v>
      </c>
    </row>
    <row r="10" spans="1:11" ht="18">
      <c r="A10" s="10" t="s">
        <v>15</v>
      </c>
      <c r="B10" s="16">
        <f>(((PI()*(((B7/12)/2)^2))-(PI()*(((B6/12)/2)^2)))*B8)/B9</f>
        <v>190.00000000000003</v>
      </c>
      <c r="C10" s="12" t="s">
        <v>16</v>
      </c>
      <c r="E10" s="1">
        <f>((PI()*(((B7/12)/2)^2))-(PI()*(((B6/12)/2)^2)))</f>
        <v>0.22779614700101769</v>
      </c>
      <c r="F10" s="1">
        <f>E10*B8</f>
        <v>218.5</v>
      </c>
      <c r="G10" s="1">
        <f>F10/B9</f>
        <v>190.00000000000003</v>
      </c>
      <c r="I10" s="1">
        <f>I9/1.15</f>
        <v>99.041803043920737</v>
      </c>
    </row>
    <row r="11" spans="1:11">
      <c r="A11" s="14"/>
    </row>
    <row r="12" spans="1:11">
      <c r="A12" s="18" t="s">
        <v>19</v>
      </c>
      <c r="B12" s="18" t="s">
        <v>20</v>
      </c>
      <c r="C12" s="18" t="s">
        <v>21</v>
      </c>
    </row>
    <row r="13" spans="1:11">
      <c r="A13" s="65">
        <v>2.375</v>
      </c>
      <c r="B13" s="19">
        <v>4</v>
      </c>
      <c r="C13" s="20">
        <v>2.0409999999999999</v>
      </c>
    </row>
    <row r="14" spans="1:11">
      <c r="A14" s="66"/>
      <c r="B14" s="19">
        <v>4.5999999999999996</v>
      </c>
      <c r="C14" s="20">
        <v>1.9950000000000001</v>
      </c>
    </row>
    <row r="15" spans="1:11">
      <c r="A15" s="66"/>
      <c r="B15" s="19">
        <v>4.7</v>
      </c>
      <c r="C15" s="20">
        <v>1.9950000000000001</v>
      </c>
    </row>
    <row r="16" spans="1:11">
      <c r="A16" s="66"/>
      <c r="B16" s="19">
        <v>5.8</v>
      </c>
      <c r="C16" s="20">
        <v>1.867</v>
      </c>
    </row>
    <row r="17" spans="1:3">
      <c r="A17" s="66"/>
      <c r="B17" s="19">
        <v>5.95</v>
      </c>
      <c r="C17" s="20">
        <v>1.867</v>
      </c>
    </row>
    <row r="18" spans="1:3">
      <c r="A18" s="66"/>
      <c r="B18" s="19">
        <v>6.6</v>
      </c>
      <c r="C18" s="20">
        <v>1.7849999999999999</v>
      </c>
    </row>
    <row r="19" spans="1:3">
      <c r="A19" s="66"/>
      <c r="B19" s="19">
        <v>7.35</v>
      </c>
      <c r="C19" s="20">
        <v>1.7030000000000001</v>
      </c>
    </row>
    <row r="20" spans="1:3">
      <c r="A20" s="67"/>
      <c r="B20" s="19">
        <v>7.45</v>
      </c>
      <c r="C20" s="20">
        <v>1.7030000000000001</v>
      </c>
    </row>
    <row r="21" spans="1:3">
      <c r="A21" s="65">
        <v>2.875</v>
      </c>
      <c r="B21" s="21">
        <v>6.4</v>
      </c>
      <c r="C21" s="22">
        <v>2.4409999999999998</v>
      </c>
    </row>
    <row r="22" spans="1:3">
      <c r="A22" s="66"/>
      <c r="B22" s="21">
        <v>6.5</v>
      </c>
      <c r="C22" s="22">
        <v>2.4409999999999998</v>
      </c>
    </row>
    <row r="23" spans="1:3">
      <c r="A23" s="66"/>
      <c r="B23" s="19">
        <v>7.8</v>
      </c>
      <c r="C23" s="20">
        <v>2.323</v>
      </c>
    </row>
    <row r="24" spans="1:3">
      <c r="A24" s="66"/>
      <c r="B24" s="19">
        <v>7.9</v>
      </c>
      <c r="C24" s="20">
        <v>2.323</v>
      </c>
    </row>
    <row r="25" spans="1:3">
      <c r="A25" s="66"/>
      <c r="B25" s="19">
        <v>8.6</v>
      </c>
      <c r="C25" s="20">
        <v>2.2589999999999999</v>
      </c>
    </row>
    <row r="26" spans="1:3">
      <c r="A26" s="66"/>
      <c r="B26" s="19">
        <v>8.6999999999999993</v>
      </c>
      <c r="C26" s="20">
        <v>2.2589999999999999</v>
      </c>
    </row>
    <row r="27" spans="1:3">
      <c r="A27" s="66"/>
      <c r="B27" s="19">
        <v>9.35</v>
      </c>
      <c r="C27" s="20">
        <v>2.1949999999999998</v>
      </c>
    </row>
    <row r="28" spans="1:3">
      <c r="A28" s="66"/>
      <c r="B28" s="19">
        <v>9.4499999999999993</v>
      </c>
      <c r="C28" s="20">
        <v>2.1949999999999998</v>
      </c>
    </row>
    <row r="29" spans="1:3">
      <c r="A29" s="66"/>
      <c r="B29" s="19">
        <v>10.5</v>
      </c>
      <c r="C29" s="20">
        <v>2.0910000000000002</v>
      </c>
    </row>
    <row r="30" spans="1:3">
      <c r="A30" s="67"/>
      <c r="B30" s="19">
        <v>11.5</v>
      </c>
      <c r="C30" s="20">
        <v>1.9950000000000001</v>
      </c>
    </row>
    <row r="31" spans="1:3">
      <c r="A31" s="65">
        <v>3.5</v>
      </c>
      <c r="B31" s="19">
        <v>7.7</v>
      </c>
      <c r="C31" s="20">
        <v>3.0680000000000001</v>
      </c>
    </row>
    <row r="32" spans="1:3">
      <c r="A32" s="66"/>
      <c r="B32" s="21">
        <v>9.1999999999999993</v>
      </c>
      <c r="C32" s="22">
        <v>2.992</v>
      </c>
    </row>
    <row r="33" spans="1:3">
      <c r="A33" s="66"/>
      <c r="B33" s="21">
        <v>9.3000000000000007</v>
      </c>
      <c r="C33" s="22">
        <v>2.992</v>
      </c>
    </row>
    <row r="34" spans="1:3">
      <c r="A34" s="66"/>
      <c r="B34" s="21">
        <v>10.199999999999999</v>
      </c>
      <c r="C34" s="22">
        <v>2.9220000000000002</v>
      </c>
    </row>
    <row r="35" spans="1:3">
      <c r="A35" s="66"/>
      <c r="B35" s="19">
        <v>12.7</v>
      </c>
      <c r="C35" s="20">
        <v>2.75</v>
      </c>
    </row>
    <row r="36" spans="1:3">
      <c r="A36" s="66"/>
      <c r="B36" s="19">
        <v>12.95</v>
      </c>
      <c r="C36" s="20">
        <v>2.75</v>
      </c>
    </row>
    <row r="37" spans="1:3">
      <c r="A37" s="66"/>
      <c r="B37" s="19">
        <v>14.3</v>
      </c>
      <c r="C37" s="20">
        <v>2.64</v>
      </c>
    </row>
    <row r="38" spans="1:3">
      <c r="A38" s="66"/>
      <c r="B38" s="19">
        <v>15.5</v>
      </c>
      <c r="C38" s="20">
        <v>2.548</v>
      </c>
    </row>
    <row r="39" spans="1:3">
      <c r="A39" s="67"/>
      <c r="B39" s="19">
        <v>17</v>
      </c>
      <c r="C39" s="20">
        <v>2.44</v>
      </c>
    </row>
    <row r="40" spans="1:3">
      <c r="A40" s="65">
        <v>4.5</v>
      </c>
      <c r="B40" s="19">
        <v>9.5</v>
      </c>
      <c r="C40" s="20">
        <v>4.09</v>
      </c>
    </row>
    <row r="41" spans="1:3">
      <c r="A41" s="66"/>
      <c r="B41" s="21">
        <v>10.5</v>
      </c>
      <c r="C41" s="22">
        <v>4.0519999999999996</v>
      </c>
    </row>
    <row r="42" spans="1:3">
      <c r="A42" s="66"/>
      <c r="B42" s="21">
        <v>11.6</v>
      </c>
      <c r="C42" s="22">
        <v>4</v>
      </c>
    </row>
    <row r="43" spans="1:3">
      <c r="A43" s="66"/>
      <c r="B43" s="19">
        <v>13.5</v>
      </c>
      <c r="C43" s="20">
        <v>3.92</v>
      </c>
    </row>
    <row r="44" spans="1:3">
      <c r="A44" s="67"/>
      <c r="B44" s="21">
        <v>15.1</v>
      </c>
      <c r="C44" s="22">
        <v>3.8260000000000001</v>
      </c>
    </row>
    <row r="45" spans="1:3">
      <c r="A45" s="65">
        <v>5.5</v>
      </c>
      <c r="B45" s="19">
        <v>14</v>
      </c>
      <c r="C45" s="20">
        <v>5.0119999999999996</v>
      </c>
    </row>
    <row r="46" spans="1:3">
      <c r="A46" s="66"/>
      <c r="B46" s="21">
        <v>15.5</v>
      </c>
      <c r="C46" s="22">
        <v>4.95</v>
      </c>
    </row>
    <row r="47" spans="1:3">
      <c r="A47" s="66"/>
      <c r="B47" s="21">
        <v>17</v>
      </c>
      <c r="C47" s="22">
        <v>4.8920000000000003</v>
      </c>
    </row>
    <row r="48" spans="1:3">
      <c r="A48" s="66"/>
      <c r="B48" s="19">
        <v>20</v>
      </c>
      <c r="C48" s="20">
        <v>4.7779999999999996</v>
      </c>
    </row>
    <row r="49" spans="1:3">
      <c r="A49" s="66"/>
      <c r="B49" s="19">
        <v>23</v>
      </c>
      <c r="C49" s="20">
        <v>4.67</v>
      </c>
    </row>
    <row r="50" spans="1:3">
      <c r="A50" s="66"/>
      <c r="B50" s="19">
        <v>26.8</v>
      </c>
      <c r="C50" s="20">
        <v>4.5</v>
      </c>
    </row>
    <row r="51" spans="1:3">
      <c r="A51" s="66"/>
      <c r="B51" s="19">
        <v>29.7</v>
      </c>
      <c r="C51" s="20">
        <v>4.3760000000000003</v>
      </c>
    </row>
    <row r="52" spans="1:3">
      <c r="A52" s="66"/>
      <c r="B52" s="19">
        <v>32.6</v>
      </c>
      <c r="C52" s="20">
        <v>4.25</v>
      </c>
    </row>
    <row r="53" spans="1:3">
      <c r="A53" s="66"/>
      <c r="B53" s="19">
        <v>35.299999999999997</v>
      </c>
      <c r="C53" s="20">
        <v>4.1260000000000003</v>
      </c>
    </row>
    <row r="54" spans="1:3">
      <c r="A54" s="66"/>
      <c r="B54" s="19">
        <v>38</v>
      </c>
      <c r="C54" s="20">
        <v>4</v>
      </c>
    </row>
    <row r="55" spans="1:3">
      <c r="A55" s="66"/>
      <c r="B55" s="19">
        <v>40.5</v>
      </c>
      <c r="C55" s="20">
        <v>3.8759999999999999</v>
      </c>
    </row>
    <row r="56" spans="1:3">
      <c r="A56" s="67"/>
      <c r="B56" s="19">
        <v>43.1</v>
      </c>
      <c r="C56" s="20">
        <v>3.75</v>
      </c>
    </row>
  </sheetData>
  <mergeCells count="5">
    <mergeCell ref="A13:A20"/>
    <mergeCell ref="A21:A30"/>
    <mergeCell ref="A31:A39"/>
    <mergeCell ref="A40:A44"/>
    <mergeCell ref="A45:A56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Detailed</vt:lpstr>
      <vt:lpstr>Cement</vt:lpstr>
      <vt:lpstr>Detailed!Print_Area</vt:lpstr>
    </vt:vector>
  </TitlesOfParts>
  <Company>Noble Energy,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Pomerantz</dc:creator>
  <cp:lastModifiedBy>Jenkinss</cp:lastModifiedBy>
  <cp:lastPrinted>2017-04-20T13:10:03Z</cp:lastPrinted>
  <dcterms:created xsi:type="dcterms:W3CDTF">2012-07-10T20:04:08Z</dcterms:created>
  <dcterms:modified xsi:type="dcterms:W3CDTF">2017-06-13T13:58:48Z</dcterms:modified>
</cp:coreProperties>
</file>