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65" windowWidth="19260" windowHeight="11955" tabRatio="281" firstSheet="1" activeTab="2"/>
  </bookViews>
  <sheets>
    <sheet name="Report Inputs" sheetId="1" r:id="rId1"/>
    <sheet name="Well Data" sheetId="2" r:id="rId2"/>
    <sheet name="CC_66571_11_2015" sheetId="15" r:id="rId3"/>
    <sheet name="Notes" sheetId="14" state="hidden" r:id="rId4"/>
    <sheet name="Sheet1" sheetId="16" r:id="rId5"/>
  </sheets>
  <definedNames>
    <definedName name="_xlnm._FilterDatabase" localSheetId="2" hidden="1">CC_66571_11_2015!$A$1:$AV$445</definedName>
    <definedName name="_xlnm._FilterDatabase" localSheetId="1" hidden="1">'Well Data'!$A$4:$N$754</definedName>
    <definedName name="data">'Well Data'!$A:$N</definedName>
    <definedName name="Databases">Notes!$F$2:$F$4</definedName>
    <definedName name="percents">#REF!</definedName>
    <definedName name="_xlnm.Print_Area" localSheetId="2">CC_66571_11_2015!$Q$1:$AO$465</definedName>
    <definedName name="_xlnm.Print_Area" localSheetId="1">'Well Data'!$A$1:$T$887</definedName>
    <definedName name="_xlnm.Print_Titles" localSheetId="2">CC_66571_11_2015!$1:$1</definedName>
    <definedName name="Query_from_QEPSPP" localSheetId="1">'Well Data'!$A$5:$K$81</definedName>
    <definedName name="water_inj_volumes" localSheetId="1">'Well Data'!$A$5:$B$5</definedName>
  </definedNames>
  <calcPr calcId="125725"/>
</workbook>
</file>

<file path=xl/calcChain.xml><?xml version="1.0" encoding="utf-8"?>
<calcChain xmlns="http://schemas.openxmlformats.org/spreadsheetml/2006/main">
  <c r="AK198" i="15"/>
  <c r="AK196"/>
  <c r="AK143"/>
  <c r="AK17"/>
  <c r="AL286"/>
  <c r="AL285"/>
  <c r="AL204"/>
  <c r="AG144"/>
  <c r="AH137"/>
  <c r="AG459"/>
  <c r="AG458"/>
  <c r="AG457"/>
  <c r="AG456"/>
  <c r="AG455"/>
  <c r="AG454"/>
  <c r="AG453"/>
  <c r="AG452"/>
  <c r="AG451"/>
  <c r="AG450"/>
  <c r="AG449"/>
  <c r="AG448"/>
  <c r="AG447"/>
  <c r="AG446"/>
  <c r="AG445"/>
  <c r="AG444"/>
  <c r="AG443"/>
  <c r="AG442"/>
  <c r="AG441"/>
  <c r="AG440"/>
  <c r="AG439"/>
  <c r="AG438"/>
  <c r="AG437"/>
  <c r="AG436"/>
  <c r="AG435"/>
  <c r="AG434"/>
  <c r="AG433"/>
  <c r="AG432"/>
  <c r="AG431"/>
  <c r="AG430"/>
  <c r="AG429"/>
  <c r="AG428"/>
  <c r="AG427"/>
  <c r="AG426"/>
  <c r="AG425"/>
  <c r="AG424"/>
  <c r="AG423"/>
  <c r="AG422"/>
  <c r="AG421"/>
  <c r="AG420"/>
  <c r="AG419"/>
  <c r="AG418"/>
  <c r="AG417"/>
  <c r="AG416"/>
  <c r="AG415"/>
  <c r="AG414"/>
  <c r="AG413"/>
  <c r="AG412"/>
  <c r="AG411"/>
  <c r="AG410"/>
  <c r="AG409"/>
  <c r="AG408"/>
  <c r="AG407"/>
  <c r="AG406"/>
  <c r="AG405"/>
  <c r="AG404"/>
  <c r="AG403"/>
  <c r="AG398"/>
  <c r="AG397"/>
  <c r="AG396"/>
  <c r="AG395"/>
  <c r="AG394"/>
  <c r="AG393"/>
  <c r="AG392"/>
  <c r="AG391"/>
  <c r="AG390"/>
  <c r="AG389"/>
  <c r="AG388"/>
  <c r="AG387"/>
  <c r="AG386"/>
  <c r="AG385"/>
  <c r="AG384"/>
  <c r="AG383"/>
  <c r="AG382"/>
  <c r="AG381"/>
  <c r="AG380"/>
  <c r="AG379"/>
  <c r="AG378"/>
  <c r="AG377"/>
  <c r="AG376"/>
  <c r="AG375"/>
  <c r="AG374"/>
  <c r="AG373"/>
  <c r="AG372"/>
  <c r="AG371"/>
  <c r="AG370"/>
  <c r="AG369"/>
  <c r="AG368"/>
  <c r="AG367"/>
  <c r="AG366"/>
  <c r="AG365"/>
  <c r="AG364"/>
  <c r="AG363"/>
  <c r="AG362"/>
  <c r="AG361"/>
  <c r="AG360"/>
  <c r="AG359"/>
  <c r="AG358"/>
  <c r="AG357"/>
  <c r="AG356"/>
  <c r="AG355"/>
  <c r="AG354"/>
  <c r="AG353"/>
  <c r="AG352"/>
  <c r="AG351"/>
  <c r="AG350"/>
  <c r="AG349"/>
  <c r="AG348"/>
  <c r="AG347"/>
  <c r="AG346"/>
  <c r="AG345"/>
  <c r="AG344"/>
  <c r="AG343"/>
  <c r="AG342"/>
  <c r="AG341"/>
  <c r="AG340"/>
  <c r="AG339"/>
  <c r="AG338"/>
  <c r="AG337"/>
  <c r="AG336"/>
  <c r="AG335"/>
  <c r="AG334"/>
  <c r="AG333"/>
  <c r="AG332"/>
  <c r="AG331"/>
  <c r="AG330"/>
  <c r="AG329"/>
  <c r="AG328"/>
  <c r="AG327"/>
  <c r="AG326"/>
  <c r="AG325"/>
  <c r="AG324"/>
  <c r="AG323"/>
  <c r="AG322"/>
  <c r="AG321"/>
  <c r="AG320"/>
  <c r="AG319"/>
  <c r="AG318"/>
  <c r="AG317"/>
  <c r="AG316"/>
  <c r="AG315"/>
  <c r="AG314"/>
  <c r="AG309"/>
  <c r="AG308"/>
  <c r="AG307"/>
  <c r="AG306"/>
  <c r="AG305"/>
  <c r="AG304"/>
  <c r="AG303"/>
  <c r="AG302"/>
  <c r="AG301"/>
  <c r="AG300"/>
  <c r="AG299"/>
  <c r="AG298"/>
  <c r="AG297"/>
  <c r="AG296"/>
  <c r="AG295"/>
  <c r="AG294"/>
  <c r="AG293"/>
  <c r="AG292"/>
  <c r="AG284"/>
  <c r="AG283"/>
  <c r="AG269"/>
  <c r="AG268"/>
  <c r="AG267"/>
  <c r="AG266"/>
  <c r="AG259"/>
  <c r="AG258"/>
  <c r="AG252"/>
  <c r="AG248"/>
  <c r="AG247"/>
  <c r="AG246"/>
  <c r="AG239"/>
  <c r="AG229"/>
  <c r="AG221"/>
  <c r="AG218"/>
  <c r="AG217"/>
  <c r="AG215"/>
  <c r="AG199"/>
  <c r="AG198"/>
  <c r="AG197"/>
  <c r="AG196"/>
  <c r="AG195"/>
  <c r="AG194"/>
  <c r="AG193"/>
  <c r="AG192"/>
  <c r="AG191"/>
  <c r="AG190"/>
  <c r="AG188"/>
  <c r="AG187"/>
  <c r="AG186"/>
  <c r="AG185"/>
  <c r="AG184"/>
  <c r="AG183"/>
  <c r="AG182"/>
  <c r="AG181"/>
  <c r="AG179"/>
  <c r="AG178"/>
  <c r="AG177"/>
  <c r="AG176"/>
  <c r="AG175"/>
  <c r="AG174"/>
  <c r="AG173"/>
  <c r="AG172"/>
  <c r="AG170"/>
  <c r="AG169"/>
  <c r="AG168"/>
  <c r="AG167"/>
  <c r="AG165"/>
  <c r="AG164"/>
  <c r="AG163"/>
  <c r="AG162"/>
  <c r="AG161"/>
  <c r="AG160"/>
  <c r="AG159"/>
  <c r="AG158"/>
  <c r="AG157"/>
  <c r="AG156"/>
  <c r="AG155"/>
  <c r="AG154"/>
  <c r="AG153"/>
  <c r="AG152"/>
  <c r="AG151"/>
  <c r="AG139"/>
  <c r="AG138"/>
  <c r="AG136"/>
  <c r="AG135"/>
  <c r="AG134"/>
  <c r="AG133"/>
  <c r="AG132"/>
  <c r="AG131"/>
  <c r="AG130"/>
  <c r="AG129"/>
  <c r="AG128"/>
  <c r="AG127"/>
  <c r="AG126"/>
  <c r="AG124"/>
  <c r="AG118"/>
  <c r="AG114"/>
  <c r="AG113"/>
  <c r="AG112"/>
  <c r="AG111"/>
  <c r="AG110"/>
  <c r="AG101"/>
  <c r="AG100"/>
  <c r="AG99"/>
  <c r="AG98"/>
  <c r="AG97"/>
  <c r="AG96"/>
  <c r="AG95"/>
  <c r="AG94"/>
  <c r="AG93"/>
  <c r="AG92"/>
  <c r="AG91"/>
  <c r="AG86"/>
  <c r="AG85"/>
  <c r="AG84"/>
  <c r="AG83"/>
  <c r="AG82"/>
  <c r="AG81"/>
  <c r="AG76"/>
  <c r="AG61"/>
  <c r="AG54"/>
  <c r="AG53"/>
  <c r="AG41"/>
  <c r="AG40"/>
  <c r="AG39"/>
  <c r="AG38"/>
  <c r="AG37"/>
  <c r="AG35"/>
  <c r="AG22"/>
  <c r="AG21"/>
  <c r="AG20"/>
  <c r="AG19"/>
  <c r="AG18"/>
  <c r="AG17"/>
  <c r="AG11"/>
  <c r="AF142"/>
  <c r="AH459"/>
  <c r="AH456"/>
  <c r="AH452"/>
  <c r="AH451"/>
  <c r="AH449"/>
  <c r="AH448"/>
  <c r="AH447"/>
  <c r="AH446"/>
  <c r="AH443"/>
  <c r="AH442"/>
  <c r="AH441"/>
  <c r="AH440"/>
  <c r="AH439"/>
  <c r="AH438"/>
  <c r="AH437"/>
  <c r="AH436"/>
  <c r="AH435"/>
  <c r="AH434"/>
  <c r="AH433"/>
  <c r="AH430"/>
  <c r="AH428"/>
  <c r="AH427"/>
  <c r="AH426"/>
  <c r="AH425"/>
  <c r="AH424"/>
  <c r="AH422"/>
  <c r="AH420"/>
  <c r="AH419"/>
  <c r="AH418"/>
  <c r="AH417"/>
  <c r="AH416"/>
  <c r="AH414"/>
  <c r="AH413"/>
  <c r="AH412"/>
  <c r="AH411"/>
  <c r="AH410"/>
  <c r="AH408"/>
  <c r="AH405"/>
  <c r="AH399"/>
  <c r="AH398"/>
  <c r="AH397"/>
  <c r="AH395"/>
  <c r="AH394"/>
  <c r="AH393"/>
  <c r="AH392"/>
  <c r="AH390"/>
  <c r="AH388"/>
  <c r="AH387"/>
  <c r="AH385"/>
  <c r="AH384"/>
  <c r="AH382"/>
  <c r="AH381"/>
  <c r="AH379"/>
  <c r="AH378"/>
  <c r="AH377"/>
  <c r="AH376"/>
  <c r="AH375"/>
  <c r="AH374"/>
  <c r="AH372"/>
  <c r="AH371"/>
  <c r="AH370"/>
  <c r="AH369"/>
  <c r="AH366"/>
  <c r="AH365"/>
  <c r="AH364"/>
  <c r="AH363"/>
  <c r="AH362"/>
  <c r="AH361"/>
  <c r="AH359"/>
  <c r="AH355"/>
  <c r="AH344"/>
  <c r="AH335"/>
  <c r="AH334"/>
  <c r="AH333"/>
  <c r="AH332"/>
  <c r="AH327"/>
  <c r="AH308"/>
  <c r="AH304"/>
  <c r="AH301"/>
  <c r="AH291"/>
  <c r="AH282"/>
  <c r="AH274"/>
  <c r="AH254"/>
  <c r="AH251"/>
  <c r="AH249"/>
  <c r="AH247"/>
  <c r="AH225"/>
  <c r="AH223"/>
  <c r="AH222"/>
  <c r="AH216"/>
  <c r="AH214"/>
  <c r="AH198"/>
  <c r="AH188"/>
  <c r="AH183"/>
  <c r="AH167"/>
  <c r="AH166"/>
  <c r="AH158"/>
  <c r="AH150"/>
  <c r="AH138"/>
  <c r="AH136"/>
  <c r="AH134"/>
  <c r="AH133"/>
  <c r="AH131"/>
  <c r="AH129"/>
  <c r="AH127"/>
  <c r="AH125"/>
  <c r="AH123"/>
  <c r="AH120"/>
  <c r="AH119"/>
  <c r="AH118"/>
  <c r="AH117"/>
  <c r="AH115"/>
  <c r="AH114"/>
  <c r="AH113"/>
  <c r="AH112"/>
  <c r="AH111"/>
  <c r="AH110"/>
  <c r="AH109"/>
  <c r="AH108"/>
  <c r="AH101"/>
  <c r="AH100"/>
  <c r="AH99"/>
  <c r="AH98"/>
  <c r="AH97"/>
  <c r="AH96"/>
  <c r="AH95"/>
  <c r="AH86"/>
  <c r="AH85"/>
  <c r="AH84"/>
  <c r="AH83"/>
  <c r="AH82"/>
  <c r="AH81"/>
  <c r="AH80"/>
  <c r="AH79"/>
  <c r="AH78"/>
  <c r="AH77"/>
  <c r="AH76"/>
  <c r="AH75"/>
  <c r="AH74"/>
  <c r="AH73"/>
  <c r="AH72"/>
  <c r="AH71"/>
  <c r="AH70"/>
  <c r="AH69"/>
  <c r="AH68"/>
  <c r="AH67"/>
  <c r="AH66"/>
  <c r="AH65"/>
  <c r="AH64"/>
  <c r="AH63"/>
  <c r="AH62"/>
  <c r="AH61"/>
  <c r="AH60"/>
  <c r="AH59"/>
  <c r="AH58"/>
  <c r="AH57"/>
  <c r="AH56"/>
  <c r="AH55"/>
  <c r="AH54"/>
  <c r="AH51"/>
  <c r="AH48"/>
  <c r="AG28"/>
  <c r="AG27"/>
  <c r="AG26"/>
  <c r="AG24"/>
  <c r="AH4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V6"/>
  <c r="V5"/>
  <c r="V4"/>
  <c r="AH221"/>
  <c r="AK332"/>
  <c r="AK186"/>
  <c r="AH463"/>
  <c r="AH358"/>
  <c r="AH357"/>
  <c r="AH356"/>
  <c r="AH354"/>
  <c r="AH350"/>
  <c r="AH349"/>
  <c r="AH348"/>
  <c r="AH346"/>
  <c r="AH343"/>
  <c r="AH342"/>
  <c r="AH341"/>
  <c r="AH340"/>
  <c r="AH338"/>
  <c r="AH329"/>
  <c r="AH328"/>
  <c r="AH326"/>
  <c r="AH325"/>
  <c r="AH324"/>
  <c r="AH322"/>
  <c r="AH320"/>
  <c r="AH319"/>
  <c r="AH317"/>
  <c r="AH315"/>
  <c r="AH312"/>
  <c r="AH311"/>
  <c r="AH309"/>
  <c r="AH307"/>
  <c r="AH306"/>
  <c r="AH303"/>
  <c r="AH300"/>
  <c r="AH299"/>
  <c r="AH298"/>
  <c r="AH297"/>
  <c r="AH295"/>
  <c r="AH294"/>
  <c r="AH293"/>
  <c r="AH292"/>
  <c r="AH290"/>
  <c r="AH288"/>
  <c r="AH287"/>
  <c r="AH286"/>
  <c r="AH285"/>
  <c r="AH284"/>
  <c r="AH283"/>
  <c r="AH281"/>
  <c r="AH279"/>
  <c r="AH278"/>
  <c r="AH277"/>
  <c r="AH275"/>
  <c r="AH273"/>
  <c r="AH272"/>
  <c r="AH271"/>
  <c r="AH270"/>
  <c r="AH267"/>
  <c r="AH266"/>
  <c r="AH265"/>
  <c r="AH262"/>
  <c r="AH259"/>
  <c r="AH258"/>
  <c r="AH257"/>
  <c r="AH255"/>
  <c r="AH253"/>
  <c r="AH252"/>
  <c r="AH250"/>
  <c r="AH248"/>
  <c r="AH246"/>
  <c r="AH245"/>
  <c r="AH244"/>
  <c r="AH243"/>
  <c r="AH242"/>
  <c r="AH241"/>
  <c r="AH239"/>
  <c r="AH238"/>
  <c r="AH237"/>
  <c r="AH236"/>
  <c r="AH234"/>
  <c r="AH233"/>
  <c r="AH232"/>
  <c r="AH230"/>
  <c r="AH229"/>
  <c r="AH228"/>
  <c r="AH227"/>
  <c r="AH226"/>
  <c r="AH217"/>
  <c r="AH213"/>
  <c r="AH211"/>
  <c r="AH206"/>
  <c r="AH205"/>
  <c r="AH201"/>
  <c r="AH200"/>
  <c r="AH199"/>
  <c r="AH197"/>
  <c r="AH196"/>
  <c r="AH195"/>
  <c r="AH194"/>
  <c r="AH193"/>
  <c r="AH191"/>
  <c r="AH189"/>
  <c r="AH187"/>
  <c r="AH186"/>
  <c r="AH185"/>
  <c r="AH182"/>
  <c r="AH181"/>
  <c r="AH180"/>
  <c r="AH179"/>
  <c r="AH177"/>
  <c r="AH176"/>
  <c r="AH174"/>
  <c r="AH173"/>
  <c r="AH171"/>
  <c r="AH170"/>
  <c r="AH169"/>
  <c r="AH165"/>
  <c r="AH163"/>
  <c r="AH161"/>
  <c r="AH160"/>
  <c r="AH155"/>
  <c r="AH154"/>
  <c r="AH153"/>
  <c r="AH152"/>
  <c r="AH151"/>
  <c r="AH148"/>
  <c r="AH146"/>
  <c r="AH107"/>
  <c r="AH106"/>
  <c r="AH105"/>
  <c r="AH104"/>
  <c r="AH103"/>
  <c r="AH102"/>
  <c r="AH94"/>
  <c r="AH93"/>
  <c r="AH92"/>
  <c r="AH91"/>
  <c r="AH90"/>
  <c r="AH53"/>
  <c r="AH52"/>
  <c r="AH50"/>
  <c r="AH49"/>
  <c r="V39"/>
  <c r="V134"/>
  <c r="V342"/>
  <c r="V338"/>
  <c r="AL406"/>
  <c r="AK402"/>
  <c r="AK401"/>
  <c r="AK400"/>
  <c r="AK399"/>
  <c r="AK398"/>
  <c r="AK397"/>
  <c r="AK396"/>
  <c r="AK395"/>
  <c r="AK393"/>
  <c r="AK213"/>
  <c r="AK152"/>
  <c r="AK151"/>
  <c r="AK138"/>
  <c r="AK94"/>
  <c r="AK93"/>
  <c r="AK88"/>
  <c r="AK87"/>
  <c r="AK86"/>
  <c r="AK44"/>
  <c r="AK9"/>
  <c r="AG463"/>
  <c r="AH3" l="1"/>
  <c r="AG88"/>
  <c r="AG87"/>
  <c r="AG142"/>
  <c r="AG141"/>
  <c r="AG140"/>
  <c r="AG210"/>
  <c r="AG209"/>
  <c r="AG208"/>
  <c r="AG214"/>
  <c r="AG213"/>
  <c r="AG401"/>
  <c r="AG400"/>
  <c r="AG399"/>
  <c r="AG311"/>
  <c r="AG310"/>
  <c r="AG291"/>
  <c r="AG290"/>
  <c r="AG289"/>
  <c r="AG288"/>
  <c r="AG287"/>
  <c r="AG286"/>
  <c r="AG285"/>
  <c r="AG282"/>
  <c r="AG281"/>
  <c r="AG280"/>
  <c r="AG279"/>
  <c r="AG278"/>
  <c r="AG277"/>
  <c r="AG276"/>
  <c r="AG275"/>
  <c r="AG274"/>
  <c r="AG273"/>
  <c r="AG272"/>
  <c r="AG271"/>
  <c r="AG270"/>
  <c r="AG265"/>
  <c r="AG264"/>
  <c r="AG263"/>
  <c r="AG262"/>
  <c r="AG261"/>
  <c r="AG260"/>
  <c r="AG257"/>
  <c r="AG256"/>
  <c r="AG255"/>
  <c r="AG254"/>
  <c r="AG251"/>
  <c r="AG249"/>
  <c r="AG245"/>
  <c r="AG244"/>
  <c r="AG243"/>
  <c r="AG242"/>
  <c r="AG241"/>
  <c r="AG240"/>
  <c r="AG238"/>
  <c r="AG237"/>
  <c r="AG236"/>
  <c r="AG235"/>
  <c r="AG234"/>
  <c r="AG233"/>
  <c r="AG232"/>
  <c r="AG228"/>
  <c r="AG227"/>
  <c r="AG202"/>
  <c r="AG201"/>
  <c r="AG200"/>
  <c r="AG150"/>
  <c r="AG149"/>
  <c r="AG125"/>
  <c r="AG123"/>
  <c r="AG122"/>
  <c r="AG121"/>
  <c r="AG120"/>
  <c r="AG119"/>
  <c r="AG117"/>
  <c r="AG116"/>
  <c r="AG115"/>
  <c r="AG109"/>
  <c r="AG89"/>
  <c r="AG80"/>
  <c r="AG79"/>
  <c r="AG78"/>
  <c r="AG77"/>
  <c r="AG75"/>
  <c r="AG74"/>
  <c r="AG73"/>
  <c r="AG72"/>
  <c r="AG71"/>
  <c r="AG70"/>
  <c r="AG69"/>
  <c r="AG68"/>
  <c r="AG67"/>
  <c r="AG66"/>
  <c r="AG65"/>
  <c r="AG64"/>
  <c r="AG63"/>
  <c r="AG62"/>
  <c r="AG60"/>
  <c r="AG59"/>
  <c r="AG58"/>
  <c r="AG57"/>
  <c r="AG56"/>
  <c r="AG55"/>
  <c r="AG52"/>
  <c r="AG51"/>
  <c r="AG50"/>
  <c r="AG49"/>
  <c r="AG48"/>
  <c r="AG47"/>
  <c r="AG46"/>
  <c r="AG45"/>
  <c r="AG44"/>
  <c r="AG43"/>
  <c r="AG42"/>
  <c r="AG36"/>
  <c r="AG34"/>
  <c r="AG33"/>
  <c r="AG32"/>
  <c r="AG31"/>
  <c r="AG30"/>
  <c r="AG29"/>
  <c r="AG25"/>
  <c r="AG23"/>
  <c r="AG16"/>
  <c r="AG15"/>
  <c r="AG14"/>
  <c r="AG13"/>
  <c r="AG12"/>
  <c r="AK137"/>
  <c r="AK136"/>
  <c r="AK133"/>
  <c r="AK132"/>
  <c r="AK130"/>
  <c r="AK129"/>
  <c r="AK117"/>
  <c r="AK112"/>
  <c r="AK110"/>
  <c r="AK109"/>
  <c r="AK71"/>
  <c r="AK59"/>
  <c r="AK58"/>
  <c r="AK57"/>
  <c r="AK56"/>
  <c r="AK55"/>
  <c r="AK47"/>
  <c r="AK24"/>
  <c r="AK15"/>
  <c r="AL71"/>
  <c r="V430"/>
  <c r="V71"/>
  <c r="AG222"/>
  <c r="AG220"/>
  <c r="AG219"/>
  <c r="AH88"/>
  <c r="AG313"/>
  <c r="AG312"/>
  <c r="AG231"/>
  <c r="AG230"/>
  <c r="AG226"/>
  <c r="AG225"/>
  <c r="AG224"/>
  <c r="AG223"/>
  <c r="AG216"/>
  <c r="AG212"/>
  <c r="AG211"/>
  <c r="AG207"/>
  <c r="AG206"/>
  <c r="AG205"/>
  <c r="AG204"/>
  <c r="AG203"/>
  <c r="AG148"/>
  <c r="AG147"/>
  <c r="AG146"/>
  <c r="AG145"/>
  <c r="AG143"/>
  <c r="AG108"/>
  <c r="AG107"/>
  <c r="AG106"/>
  <c r="AG105"/>
  <c r="AG104"/>
  <c r="AG103"/>
  <c r="AG102"/>
  <c r="AG90"/>
  <c r="AK78"/>
  <c r="AL459"/>
  <c r="AL458"/>
  <c r="AL457"/>
  <c r="AL456"/>
  <c r="AL455"/>
  <c r="AL454"/>
  <c r="AL453"/>
  <c r="AL452"/>
  <c r="AL451"/>
  <c r="AL450"/>
  <c r="AL449"/>
  <c r="AL448"/>
  <c r="AL445"/>
  <c r="AL444"/>
  <c r="AL443"/>
  <c r="AL442"/>
  <c r="AL441"/>
  <c r="AL440"/>
  <c r="AL439"/>
  <c r="AL438"/>
  <c r="AL437"/>
  <c r="AL435"/>
  <c r="AL433"/>
  <c r="AL432"/>
  <c r="AL431"/>
  <c r="AL399"/>
  <c r="AL398"/>
  <c r="AL397"/>
  <c r="AL396"/>
  <c r="AL395"/>
  <c r="AL394"/>
  <c r="AL393"/>
  <c r="AL392"/>
  <c r="AL391"/>
  <c r="AL390"/>
  <c r="AL389"/>
  <c r="AL388"/>
  <c r="AL387"/>
  <c r="AL386"/>
  <c r="AL385"/>
  <c r="AL384"/>
  <c r="AL383"/>
  <c r="AL382"/>
  <c r="AL381"/>
  <c r="AL380"/>
  <c r="AL379"/>
  <c r="AL378"/>
  <c r="AL377"/>
  <c r="AL376"/>
  <c r="AL375"/>
  <c r="AL373"/>
  <c r="AL372"/>
  <c r="AL371"/>
  <c r="AL370"/>
  <c r="AL369"/>
  <c r="AL368"/>
  <c r="AL367"/>
  <c r="AL366"/>
  <c r="AL365"/>
  <c r="AL364"/>
  <c r="AL363"/>
  <c r="AL362"/>
  <c r="AL361"/>
  <c r="AL360"/>
  <c r="AL359"/>
  <c r="AL358"/>
  <c r="AL357"/>
  <c r="AL356"/>
  <c r="AL355"/>
  <c r="AL354"/>
  <c r="AL353"/>
  <c r="AL352"/>
  <c r="AL351"/>
  <c r="AL350"/>
  <c r="AL349"/>
  <c r="AL348"/>
  <c r="AL347"/>
  <c r="AL346"/>
  <c r="AL345"/>
  <c r="AL344"/>
  <c r="AL343"/>
  <c r="AL340"/>
  <c r="AL339"/>
  <c r="AL139"/>
  <c r="AL138"/>
  <c r="AL137"/>
  <c r="AL136"/>
  <c r="AL135"/>
  <c r="AL133"/>
  <c r="AL132"/>
  <c r="AL131"/>
  <c r="AL130"/>
  <c r="AL129"/>
  <c r="AL128"/>
  <c r="AL127"/>
  <c r="AL126"/>
  <c r="AL86"/>
  <c r="AL85"/>
  <c r="AL84"/>
  <c r="AL83"/>
  <c r="AL82"/>
  <c r="AL81"/>
  <c r="AL80"/>
  <c r="AL79"/>
  <c r="AL78"/>
  <c r="AL76"/>
  <c r="AL75"/>
  <c r="AL74"/>
  <c r="AL73"/>
  <c r="AL72"/>
  <c r="AL70"/>
  <c r="AL69"/>
  <c r="AL68"/>
  <c r="AL67"/>
  <c r="AL38"/>
  <c r="AL37"/>
  <c r="AL36"/>
  <c r="AL35"/>
  <c r="AL34"/>
  <c r="AL33"/>
  <c r="AL32"/>
  <c r="AL31"/>
  <c r="AL30"/>
  <c r="AL29"/>
  <c r="AL28"/>
  <c r="AL27"/>
  <c r="AL25"/>
  <c r="AL24"/>
  <c r="AL23"/>
  <c r="AL22"/>
  <c r="AL21"/>
  <c r="AL20"/>
  <c r="AL19"/>
  <c r="AL18"/>
  <c r="AL17"/>
  <c r="AL16"/>
  <c r="AL15"/>
  <c r="AL14"/>
  <c r="AL13"/>
  <c r="AL12"/>
  <c r="AL11"/>
  <c r="AK445"/>
  <c r="AK444"/>
  <c r="AK443"/>
  <c r="AK442"/>
  <c r="AK441"/>
  <c r="AK440"/>
  <c r="AK439"/>
  <c r="AK438"/>
  <c r="AK437"/>
  <c r="AK435"/>
  <c r="AK433"/>
  <c r="AK432"/>
  <c r="AK431"/>
  <c r="AK429"/>
  <c r="AK428"/>
  <c r="AK427"/>
  <c r="AK426"/>
  <c r="AK425"/>
  <c r="AK424"/>
  <c r="AK423"/>
  <c r="AK422"/>
  <c r="AK421"/>
  <c r="AK420"/>
  <c r="AK419"/>
  <c r="AK418"/>
  <c r="AK417"/>
  <c r="AK416"/>
  <c r="AK414"/>
  <c r="AK413"/>
  <c r="AK412"/>
  <c r="AK411"/>
  <c r="AK410"/>
  <c r="AK409"/>
  <c r="AK408"/>
  <c r="AK407"/>
  <c r="AK392"/>
  <c r="AK391"/>
  <c r="AK390"/>
  <c r="AK389"/>
  <c r="AK388"/>
  <c r="AK387"/>
  <c r="AK386"/>
  <c r="AK385"/>
  <c r="AK384"/>
  <c r="AK383"/>
  <c r="AK382"/>
  <c r="AK381"/>
  <c r="AK380"/>
  <c r="AK379"/>
  <c r="AK378"/>
  <c r="AK377"/>
  <c r="AK376"/>
  <c r="AK375"/>
  <c r="AK373"/>
  <c r="AK372"/>
  <c r="AK371"/>
  <c r="AK370"/>
  <c r="AK369"/>
  <c r="AK368"/>
  <c r="AK367"/>
  <c r="AK366"/>
  <c r="AK364"/>
  <c r="AK363"/>
  <c r="AK362"/>
  <c r="AK361"/>
  <c r="AK360"/>
  <c r="AK359"/>
  <c r="AK358"/>
  <c r="AK357"/>
  <c r="AK356"/>
  <c r="AK355"/>
  <c r="AK354"/>
  <c r="AK353"/>
  <c r="AK309"/>
  <c r="AK308"/>
  <c r="AK307"/>
  <c r="AK305"/>
  <c r="AK304"/>
  <c r="AK303"/>
  <c r="AK302"/>
  <c r="AK301"/>
  <c r="AK300"/>
  <c r="AK299"/>
  <c r="AK298"/>
  <c r="AK297"/>
  <c r="AK296"/>
  <c r="AK295"/>
  <c r="AK294"/>
  <c r="AK293"/>
  <c r="AK292"/>
  <c r="AK291"/>
  <c r="AK290"/>
  <c r="AK289"/>
  <c r="AK288"/>
  <c r="AK214"/>
  <c r="AK205"/>
  <c r="AK197"/>
  <c r="AK195"/>
  <c r="AK194"/>
  <c r="AK193"/>
  <c r="AK192"/>
  <c r="AK191"/>
  <c r="AK190"/>
  <c r="AK189"/>
  <c r="AK188"/>
  <c r="AK187"/>
  <c r="AK185"/>
  <c r="AK184"/>
  <c r="AK183"/>
  <c r="AK182"/>
  <c r="AK181"/>
  <c r="AK180"/>
  <c r="AK179"/>
  <c r="AK178"/>
  <c r="AK177"/>
  <c r="AK176"/>
  <c r="AK175"/>
  <c r="AK174"/>
  <c r="AK173"/>
  <c r="AK172"/>
  <c r="AK171"/>
  <c r="AK170"/>
  <c r="AK169"/>
  <c r="AK168"/>
  <c r="AK167"/>
  <c r="AK166"/>
  <c r="AK165"/>
  <c r="AK164"/>
  <c r="AK163"/>
  <c r="AK162"/>
  <c r="AK160"/>
  <c r="AK159"/>
  <c r="AK158"/>
  <c r="AK157"/>
  <c r="AK156"/>
  <c r="AK155"/>
  <c r="AK153"/>
  <c r="AK139"/>
  <c r="AK135"/>
  <c r="AK131"/>
  <c r="AK128"/>
  <c r="AK127"/>
  <c r="AK126"/>
  <c r="AK124"/>
  <c r="AK122"/>
  <c r="AK85"/>
  <c r="AK84"/>
  <c r="AK83"/>
  <c r="AK82"/>
  <c r="AK81"/>
  <c r="AK80"/>
  <c r="AK79"/>
  <c r="AK76"/>
  <c r="AK75"/>
  <c r="AK74"/>
  <c r="AK73"/>
  <c r="AK72"/>
  <c r="AK70"/>
  <c r="AK69"/>
  <c r="AK68"/>
  <c r="AK67"/>
  <c r="AK43"/>
  <c r="AK42"/>
  <c r="AK41"/>
  <c r="AK40"/>
  <c r="AK38"/>
  <c r="AK37"/>
  <c r="AK36"/>
  <c r="AK34"/>
  <c r="AK33"/>
  <c r="AK32"/>
  <c r="AK31"/>
  <c r="AK30"/>
  <c r="AK29"/>
  <c r="AK28"/>
  <c r="AK27"/>
  <c r="AK25"/>
  <c r="AK23"/>
  <c r="AK22"/>
  <c r="AK20"/>
  <c r="AK18"/>
  <c r="AK16"/>
  <c r="AK14"/>
  <c r="AK13"/>
  <c r="AK11"/>
  <c r="AK3"/>
  <c r="AH89"/>
  <c r="AG402"/>
  <c r="AG10"/>
  <c r="AG9"/>
  <c r="AG8"/>
  <c r="V421"/>
  <c r="U421" s="1"/>
  <c r="V406"/>
  <c r="V405"/>
  <c r="V404"/>
  <c r="V403"/>
  <c r="V402"/>
  <c r="U400"/>
  <c r="V399"/>
  <c r="V398"/>
  <c r="V397"/>
  <c r="V396"/>
  <c r="V395"/>
  <c r="V394"/>
  <c r="V393"/>
  <c r="V392"/>
  <c r="V391"/>
  <c r="V390"/>
  <c r="V389"/>
  <c r="V388"/>
  <c r="V387"/>
  <c r="V386"/>
  <c r="V385"/>
  <c r="V384"/>
  <c r="V383"/>
  <c r="V382"/>
  <c r="V381"/>
  <c r="V380"/>
  <c r="V379"/>
  <c r="V378"/>
  <c r="V377"/>
  <c r="V376"/>
  <c r="V375"/>
  <c r="V374"/>
  <c r="V373"/>
  <c r="V372"/>
  <c r="V371"/>
  <c r="V370"/>
  <c r="V369"/>
  <c r="V368"/>
  <c r="V367"/>
  <c r="V366"/>
  <c r="V365"/>
  <c r="V364"/>
  <c r="V363"/>
  <c r="V362"/>
  <c r="V361"/>
  <c r="V360"/>
  <c r="V359"/>
  <c r="V358"/>
  <c r="V357"/>
  <c r="V356"/>
  <c r="V355"/>
  <c r="V354"/>
  <c r="V353"/>
  <c r="V352"/>
  <c r="U352" s="1"/>
  <c r="V351"/>
  <c r="V350"/>
  <c r="V349"/>
  <c r="V348"/>
  <c r="V347"/>
  <c r="V346"/>
  <c r="V345"/>
  <c r="V344"/>
  <c r="V343"/>
  <c r="V341"/>
  <c r="V340"/>
  <c r="V339"/>
  <c r="U338"/>
  <c r="U336"/>
  <c r="V296"/>
  <c r="V295"/>
  <c r="V294"/>
  <c r="V293"/>
  <c r="V292"/>
  <c r="V291"/>
  <c r="V290"/>
  <c r="U290" s="1"/>
  <c r="V289"/>
  <c r="V288"/>
  <c r="V287"/>
  <c r="V286"/>
  <c r="V284"/>
  <c r="V283"/>
  <c r="V282"/>
  <c r="V281"/>
  <c r="V280"/>
  <c r="V279"/>
  <c r="V278"/>
  <c r="V277"/>
  <c r="V276"/>
  <c r="V275"/>
  <c r="V274"/>
  <c r="V273"/>
  <c r="V207"/>
  <c r="V206"/>
  <c r="V205"/>
  <c r="V204"/>
  <c r="V199"/>
  <c r="V198"/>
  <c r="V197"/>
  <c r="U197" s="1"/>
  <c r="V196"/>
  <c r="V195"/>
  <c r="V194"/>
  <c r="V192"/>
  <c r="V191"/>
  <c r="V190"/>
  <c r="V189"/>
  <c r="V188"/>
  <c r="V187"/>
  <c r="V186"/>
  <c r="V185"/>
  <c r="V184"/>
  <c r="V183"/>
  <c r="V182"/>
  <c r="V181"/>
  <c r="V180"/>
  <c r="V179"/>
  <c r="V178"/>
  <c r="V177"/>
  <c r="V176"/>
  <c r="V175"/>
  <c r="V174"/>
  <c r="V173"/>
  <c r="V172"/>
  <c r="V171"/>
  <c r="V170"/>
  <c r="V169"/>
  <c r="V168"/>
  <c r="V167"/>
  <c r="V166"/>
  <c r="V165"/>
  <c r="V164"/>
  <c r="V163"/>
  <c r="V162"/>
  <c r="V161"/>
  <c r="U161" s="1"/>
  <c r="V160"/>
  <c r="V159"/>
  <c r="V158"/>
  <c r="V157"/>
  <c r="V156"/>
  <c r="V155"/>
  <c r="V154"/>
  <c r="V139"/>
  <c r="U139" s="1"/>
  <c r="V138"/>
  <c r="V137"/>
  <c r="V136"/>
  <c r="V135"/>
  <c r="V133"/>
  <c r="V132"/>
  <c r="U132" s="1"/>
  <c r="V131"/>
  <c r="V130"/>
  <c r="V129"/>
  <c r="V128"/>
  <c r="U128" s="1"/>
  <c r="V127"/>
  <c r="U126"/>
  <c r="V125"/>
  <c r="V124"/>
  <c r="U124" s="1"/>
  <c r="V123"/>
  <c r="V122"/>
  <c r="V121"/>
  <c r="V120"/>
  <c r="V119"/>
  <c r="V118"/>
  <c r="V117"/>
  <c r="V116"/>
  <c r="V115"/>
  <c r="V114"/>
  <c r="V113"/>
  <c r="V112"/>
  <c r="V111"/>
  <c r="V110"/>
  <c r="V109"/>
  <c r="V108"/>
  <c r="V107"/>
  <c r="V106"/>
  <c r="V105"/>
  <c r="V104"/>
  <c r="V103"/>
  <c r="V102"/>
  <c r="V101"/>
  <c r="V100"/>
  <c r="V99"/>
  <c r="V98"/>
  <c r="V97"/>
  <c r="V96"/>
  <c r="V95"/>
  <c r="V94"/>
  <c r="V93"/>
  <c r="V92"/>
  <c r="V91"/>
  <c r="V90"/>
  <c r="V89"/>
  <c r="V85"/>
  <c r="V84"/>
  <c r="V83"/>
  <c r="V82"/>
  <c r="V81"/>
  <c r="U81" s="1"/>
  <c r="V80"/>
  <c r="V79"/>
  <c r="U79" s="1"/>
  <c r="V78"/>
  <c r="V77"/>
  <c r="V76"/>
  <c r="V75"/>
  <c r="V74"/>
  <c r="V73"/>
  <c r="V72"/>
  <c r="V70"/>
  <c r="V69"/>
  <c r="V68"/>
  <c r="V67"/>
  <c r="V66"/>
  <c r="V64"/>
  <c r="V62"/>
  <c r="V61"/>
  <c r="V60"/>
  <c r="V59"/>
  <c r="V58"/>
  <c r="U58" s="1"/>
  <c r="V57"/>
  <c r="V56"/>
  <c r="V55"/>
  <c r="V54"/>
  <c r="U54" s="1"/>
  <c r="V53"/>
  <c r="U53" s="1"/>
  <c r="V49"/>
  <c r="V48"/>
  <c r="V47"/>
  <c r="V46"/>
  <c r="V45"/>
  <c r="V44"/>
  <c r="V43"/>
  <c r="V42"/>
  <c r="V41"/>
  <c r="U41" s="1"/>
  <c r="V38"/>
  <c r="V37"/>
  <c r="V36"/>
  <c r="V35"/>
  <c r="U35" s="1"/>
  <c r="V34"/>
  <c r="V33"/>
  <c r="U33" s="1"/>
  <c r="U32"/>
  <c r="V31"/>
  <c r="U31" s="1"/>
  <c r="V30"/>
  <c r="U30" s="1"/>
  <c r="V29"/>
  <c r="V28"/>
  <c r="V27"/>
  <c r="V26"/>
  <c r="V25"/>
  <c r="V24"/>
  <c r="V23"/>
  <c r="V22"/>
  <c r="U22" s="1"/>
  <c r="V21"/>
  <c r="V20"/>
  <c r="V19"/>
  <c r="V18"/>
  <c r="U18" s="1"/>
  <c r="V17"/>
  <c r="V16"/>
  <c r="V15"/>
  <c r="U15" s="1"/>
  <c r="V14"/>
  <c r="V13"/>
  <c r="U13" s="1"/>
  <c r="AK336"/>
  <c r="AK149"/>
  <c r="AK100"/>
  <c r="AK99"/>
  <c r="AK98"/>
  <c r="AK97"/>
  <c r="AK96"/>
  <c r="AK95"/>
  <c r="AK92"/>
  <c r="AK91"/>
  <c r="AK90"/>
  <c r="AK89"/>
  <c r="AK50"/>
  <c r="AL142"/>
  <c r="AL141"/>
  <c r="AL140"/>
  <c r="U462"/>
  <c r="U461"/>
  <c r="U460"/>
  <c r="U406"/>
  <c r="U401"/>
  <c r="U394"/>
  <c r="U342"/>
  <c r="U341"/>
  <c r="U339"/>
  <c r="U282"/>
  <c r="U277"/>
  <c r="U207"/>
  <c r="U204"/>
  <c r="U198"/>
  <c r="U191"/>
  <c r="U186"/>
  <c r="U176"/>
  <c r="U154"/>
  <c r="U134"/>
  <c r="U115"/>
  <c r="U93"/>
  <c r="U89"/>
  <c r="U71"/>
  <c r="U63"/>
  <c r="U59"/>
  <c r="U42"/>
  <c r="U39"/>
  <c r="V7"/>
  <c r="U7" s="1"/>
  <c r="U6"/>
  <c r="U5"/>
  <c r="V3"/>
  <c r="U3" s="1"/>
  <c r="U4"/>
  <c r="AH314"/>
  <c r="AL198"/>
  <c r="AK121"/>
  <c r="AK120"/>
  <c r="AK119"/>
  <c r="AK118"/>
  <c r="AK116"/>
  <c r="AK113"/>
  <c r="AK111"/>
  <c r="AK108"/>
  <c r="AK107"/>
  <c r="AK106"/>
  <c r="AK105"/>
  <c r="AK104"/>
  <c r="AK103"/>
  <c r="AK102"/>
  <c r="AK101"/>
  <c r="AK65"/>
  <c r="AK63"/>
  <c r="AK62"/>
  <c r="AK61"/>
  <c r="AK60"/>
  <c r="AK54"/>
  <c r="AK53"/>
  <c r="AH203"/>
  <c r="AH87"/>
  <c r="AG3"/>
  <c r="AH224" l="1"/>
  <c r="AH143"/>
  <c r="AL197"/>
  <c r="AL196"/>
  <c r="AL195"/>
  <c r="AL194"/>
  <c r="AL193"/>
  <c r="AL146"/>
  <c r="AL124"/>
  <c r="AL123"/>
  <c r="AL122"/>
  <c r="AL121"/>
  <c r="AL43"/>
  <c r="AL42"/>
  <c r="AL41"/>
  <c r="AK271"/>
  <c r="AK270"/>
  <c r="AK269"/>
  <c r="AK268"/>
  <c r="AK232"/>
  <c r="AK231"/>
  <c r="AK230"/>
  <c r="AK229"/>
  <c r="AK228"/>
  <c r="AK227"/>
  <c r="AK226"/>
  <c r="AK146"/>
  <c r="AK52"/>
  <c r="AK51"/>
  <c r="AK46"/>
  <c r="AF222" l="1"/>
  <c r="AF221"/>
  <c r="AF202"/>
  <c r="V463"/>
  <c r="U463" s="1"/>
  <c r="V459"/>
  <c r="U459" s="1"/>
  <c r="V458"/>
  <c r="U458" s="1"/>
  <c r="V457"/>
  <c r="U457" s="1"/>
  <c r="V456"/>
  <c r="U456" s="1"/>
  <c r="V455"/>
  <c r="U455" s="1"/>
  <c r="V454"/>
  <c r="U454" s="1"/>
  <c r="V453"/>
  <c r="U453" s="1"/>
  <c r="V452"/>
  <c r="U452" s="1"/>
  <c r="V451"/>
  <c r="U451" s="1"/>
  <c r="V450"/>
  <c r="U450" s="1"/>
  <c r="V449"/>
  <c r="U449" s="1"/>
  <c r="V448"/>
  <c r="U448" s="1"/>
  <c r="V447"/>
  <c r="V446"/>
  <c r="V445"/>
  <c r="U445" s="1"/>
  <c r="V444"/>
  <c r="U444" s="1"/>
  <c r="V443"/>
  <c r="U443" s="1"/>
  <c r="V442"/>
  <c r="U442" s="1"/>
  <c r="V441"/>
  <c r="U441" s="1"/>
  <c r="V440"/>
  <c r="U440" s="1"/>
  <c r="V439"/>
  <c r="U439" s="1"/>
  <c r="V438"/>
  <c r="U438" s="1"/>
  <c r="V437"/>
  <c r="U437" s="1"/>
  <c r="V436"/>
  <c r="V435"/>
  <c r="U435" s="1"/>
  <c r="V434"/>
  <c r="V433"/>
  <c r="U433" s="1"/>
  <c r="V432"/>
  <c r="U432" s="1"/>
  <c r="V431"/>
  <c r="U431" s="1"/>
  <c r="V429"/>
  <c r="U429" s="1"/>
  <c r="V428"/>
  <c r="U428" s="1"/>
  <c r="V427"/>
  <c r="U427" s="1"/>
  <c r="V426"/>
  <c r="U426" s="1"/>
  <c r="V425"/>
  <c r="U425" s="1"/>
  <c r="V424"/>
  <c r="U424" s="1"/>
  <c r="V423"/>
  <c r="U423" s="1"/>
  <c r="V422"/>
  <c r="U422" s="1"/>
  <c r="V420"/>
  <c r="U420" s="1"/>
  <c r="V419"/>
  <c r="U419" s="1"/>
  <c r="V418"/>
  <c r="U418" s="1"/>
  <c r="V417"/>
  <c r="U417" s="1"/>
  <c r="V416"/>
  <c r="U416" s="1"/>
  <c r="V415"/>
  <c r="U415" s="1"/>
  <c r="V414"/>
  <c r="U414" s="1"/>
  <c r="V413"/>
  <c r="U413" s="1"/>
  <c r="V412"/>
  <c r="U412" s="1"/>
  <c r="V411"/>
  <c r="U411" s="1"/>
  <c r="V410"/>
  <c r="U410" s="1"/>
  <c r="V409"/>
  <c r="U409" s="1"/>
  <c r="V408"/>
  <c r="U408" s="1"/>
  <c r="V407"/>
  <c r="U407" s="1"/>
  <c r="U405"/>
  <c r="U404"/>
  <c r="U403"/>
  <c r="U402"/>
  <c r="U399"/>
  <c r="U398"/>
  <c r="U397"/>
  <c r="U396"/>
  <c r="U395"/>
  <c r="U393"/>
  <c r="U392"/>
  <c r="U391"/>
  <c r="U390"/>
  <c r="U389"/>
  <c r="U388"/>
  <c r="U387"/>
  <c r="U386"/>
  <c r="U385"/>
  <c r="U384"/>
  <c r="U383"/>
  <c r="U382"/>
  <c r="U381"/>
  <c r="U380"/>
  <c r="U379"/>
  <c r="U378"/>
  <c r="U377"/>
  <c r="U376"/>
  <c r="U375"/>
  <c r="U373"/>
  <c r="U372"/>
  <c r="U371"/>
  <c r="U370"/>
  <c r="U369"/>
  <c r="U368"/>
  <c r="U367"/>
  <c r="U366"/>
  <c r="U365"/>
  <c r="U364"/>
  <c r="U363"/>
  <c r="U362"/>
  <c r="U361"/>
  <c r="U360"/>
  <c r="U359"/>
  <c r="U358"/>
  <c r="U357"/>
  <c r="U356"/>
  <c r="U355"/>
  <c r="U354"/>
  <c r="U353"/>
  <c r="U351"/>
  <c r="U350"/>
  <c r="U349"/>
  <c r="U348"/>
  <c r="U347"/>
  <c r="U346"/>
  <c r="U345"/>
  <c r="U344"/>
  <c r="U343"/>
  <c r="U340"/>
  <c r="U337"/>
  <c r="V335"/>
  <c r="U335" s="1"/>
  <c r="V334"/>
  <c r="U334" s="1"/>
  <c r="V333"/>
  <c r="U333" s="1"/>
  <c r="V332"/>
  <c r="U332" s="1"/>
  <c r="V331"/>
  <c r="U331" s="1"/>
  <c r="V330"/>
  <c r="U330" s="1"/>
  <c r="V329"/>
  <c r="U329" s="1"/>
  <c r="V328"/>
  <c r="U328" s="1"/>
  <c r="V327"/>
  <c r="U327" s="1"/>
  <c r="V326"/>
  <c r="U326" s="1"/>
  <c r="V325"/>
  <c r="U325" s="1"/>
  <c r="V324"/>
  <c r="U324" s="1"/>
  <c r="V323"/>
  <c r="U323" s="1"/>
  <c r="V322"/>
  <c r="U322" s="1"/>
  <c r="V321"/>
  <c r="U321" s="1"/>
  <c r="V320"/>
  <c r="U320" s="1"/>
  <c r="V319"/>
  <c r="U319" s="1"/>
  <c r="V318"/>
  <c r="U318" s="1"/>
  <c r="V317"/>
  <c r="U317" s="1"/>
  <c r="V316"/>
  <c r="U316" s="1"/>
  <c r="V315"/>
  <c r="U315" s="1"/>
  <c r="V314"/>
  <c r="U314" s="1"/>
  <c r="V313"/>
  <c r="U313" s="1"/>
  <c r="V312"/>
  <c r="U312" s="1"/>
  <c r="V311"/>
  <c r="U311" s="1"/>
  <c r="V310"/>
  <c r="U310" s="1"/>
  <c r="V309"/>
  <c r="U309" s="1"/>
  <c r="V308"/>
  <c r="U308" s="1"/>
  <c r="V307"/>
  <c r="U307" s="1"/>
  <c r="V306"/>
  <c r="U306" s="1"/>
  <c r="V305"/>
  <c r="U305" s="1"/>
  <c r="V304"/>
  <c r="U304" s="1"/>
  <c r="V303"/>
  <c r="U303" s="1"/>
  <c r="V302"/>
  <c r="U302" s="1"/>
  <c r="V301"/>
  <c r="U301" s="1"/>
  <c r="V300"/>
  <c r="U300" s="1"/>
  <c r="V299"/>
  <c r="U299" s="1"/>
  <c r="V298"/>
  <c r="U298" s="1"/>
  <c r="V297"/>
  <c r="U297" s="1"/>
  <c r="U296"/>
  <c r="U295"/>
  <c r="U294"/>
  <c r="U293"/>
  <c r="U292"/>
  <c r="U291"/>
  <c r="U289"/>
  <c r="U288"/>
  <c r="U287"/>
  <c r="U286"/>
  <c r="U285"/>
  <c r="U284"/>
  <c r="U283"/>
  <c r="U281"/>
  <c r="U280"/>
  <c r="U279"/>
  <c r="U278"/>
  <c r="U276"/>
  <c r="U275"/>
  <c r="U274"/>
  <c r="U273"/>
  <c r="V271"/>
  <c r="U271" s="1"/>
  <c r="V270"/>
  <c r="U270" s="1"/>
  <c r="V269"/>
  <c r="U269" s="1"/>
  <c r="V268"/>
  <c r="U268" s="1"/>
  <c r="V267"/>
  <c r="U267" s="1"/>
  <c r="V266"/>
  <c r="U266" s="1"/>
  <c r="V265"/>
  <c r="U265" s="1"/>
  <c r="V264"/>
  <c r="U264" s="1"/>
  <c r="V263"/>
  <c r="U263" s="1"/>
  <c r="V262"/>
  <c r="U262" s="1"/>
  <c r="V261"/>
  <c r="U261" s="1"/>
  <c r="V260"/>
  <c r="U260" s="1"/>
  <c r="V259"/>
  <c r="U259" s="1"/>
  <c r="V258"/>
  <c r="U258" s="1"/>
  <c r="V257"/>
  <c r="U257" s="1"/>
  <c r="V256"/>
  <c r="U256" s="1"/>
  <c r="V255"/>
  <c r="U255" s="1"/>
  <c r="V254"/>
  <c r="U254" s="1"/>
  <c r="V253"/>
  <c r="U253" s="1"/>
  <c r="V252"/>
  <c r="U252" s="1"/>
  <c r="V251"/>
  <c r="U251" s="1"/>
  <c r="V250"/>
  <c r="U250" s="1"/>
  <c r="V249"/>
  <c r="U249" s="1"/>
  <c r="V248"/>
  <c r="U248" s="1"/>
  <c r="V247"/>
  <c r="U247" s="1"/>
  <c r="V246"/>
  <c r="U246" s="1"/>
  <c r="V245"/>
  <c r="U245" s="1"/>
  <c r="V244"/>
  <c r="U244" s="1"/>
  <c r="V243"/>
  <c r="U243" s="1"/>
  <c r="V242"/>
  <c r="U242" s="1"/>
  <c r="V241"/>
  <c r="U241" s="1"/>
  <c r="V240"/>
  <c r="U240" s="1"/>
  <c r="V239"/>
  <c r="U239" s="1"/>
  <c r="V238"/>
  <c r="U238" s="1"/>
  <c r="V237"/>
  <c r="U237" s="1"/>
  <c r="V236"/>
  <c r="U236" s="1"/>
  <c r="V235"/>
  <c r="U235" s="1"/>
  <c r="V234"/>
  <c r="U234" s="1"/>
  <c r="V233"/>
  <c r="U233" s="1"/>
  <c r="V232"/>
  <c r="U232" s="1"/>
  <c r="V231"/>
  <c r="U231" s="1"/>
  <c r="V230"/>
  <c r="U230" s="1"/>
  <c r="V229"/>
  <c r="U229" s="1"/>
  <c r="V228"/>
  <c r="U228" s="1"/>
  <c r="V227"/>
  <c r="U227" s="1"/>
  <c r="V226"/>
  <c r="U226" s="1"/>
  <c r="V225"/>
  <c r="U225" s="1"/>
  <c r="V224"/>
  <c r="U224" s="1"/>
  <c r="V223"/>
  <c r="U223" s="1"/>
  <c r="V222"/>
  <c r="U222" s="1"/>
  <c r="V221"/>
  <c r="U221" s="1"/>
  <c r="V220"/>
  <c r="U220" s="1"/>
  <c r="V219"/>
  <c r="U219" s="1"/>
  <c r="V218"/>
  <c r="U218" s="1"/>
  <c r="V217"/>
  <c r="U217" s="1"/>
  <c r="V216"/>
  <c r="U216" s="1"/>
  <c r="V215"/>
  <c r="U215" s="1"/>
  <c r="V214"/>
  <c r="U214" s="1"/>
  <c r="V213"/>
  <c r="U213" s="1"/>
  <c r="V212"/>
  <c r="U212" s="1"/>
  <c r="V211"/>
  <c r="U211" s="1"/>
  <c r="V210"/>
  <c r="U210" s="1"/>
  <c r="V209"/>
  <c r="U209" s="1"/>
  <c r="V208"/>
  <c r="U208" s="1"/>
  <c r="U206"/>
  <c r="U205"/>
  <c r="V203"/>
  <c r="U203" s="1"/>
  <c r="V202"/>
  <c r="U202" s="1"/>
  <c r="V201"/>
  <c r="U201" s="1"/>
  <c r="V200"/>
  <c r="U200" s="1"/>
  <c r="U199"/>
  <c r="U196"/>
  <c r="U195"/>
  <c r="U194"/>
  <c r="U193"/>
  <c r="U192"/>
  <c r="U190"/>
  <c r="U189"/>
  <c r="U188"/>
  <c r="U187"/>
  <c r="U185"/>
  <c r="U184"/>
  <c r="U183"/>
  <c r="U182"/>
  <c r="U181"/>
  <c r="U180"/>
  <c r="U179"/>
  <c r="U178"/>
  <c r="U177"/>
  <c r="U175"/>
  <c r="U174"/>
  <c r="U173"/>
  <c r="U172"/>
  <c r="U171"/>
  <c r="U170"/>
  <c r="U169"/>
  <c r="U168"/>
  <c r="U167"/>
  <c r="U166"/>
  <c r="U165"/>
  <c r="U164"/>
  <c r="U163"/>
  <c r="U162"/>
  <c r="U160"/>
  <c r="U159"/>
  <c r="U158"/>
  <c r="U157"/>
  <c r="U156"/>
  <c r="U155"/>
  <c r="V153"/>
  <c r="U153" s="1"/>
  <c r="V152"/>
  <c r="U152" s="1"/>
  <c r="V151"/>
  <c r="U151" s="1"/>
  <c r="V150"/>
  <c r="U150" s="1"/>
  <c r="V149"/>
  <c r="U149" s="1"/>
  <c r="V148"/>
  <c r="U148" s="1"/>
  <c r="V147"/>
  <c r="U147" s="1"/>
  <c r="V146"/>
  <c r="U146" s="1"/>
  <c r="V145"/>
  <c r="U145" s="1"/>
  <c r="V144"/>
  <c r="U144" s="1"/>
  <c r="V143"/>
  <c r="U143" s="1"/>
  <c r="V142"/>
  <c r="U142" s="1"/>
  <c r="V141"/>
  <c r="U141" s="1"/>
  <c r="V140"/>
  <c r="U140" s="1"/>
  <c r="U138"/>
  <c r="U137"/>
  <c r="U136"/>
  <c r="U135"/>
  <c r="U133"/>
  <c r="U131"/>
  <c r="U130"/>
  <c r="U129"/>
  <c r="U127"/>
  <c r="U125"/>
  <c r="U123"/>
  <c r="U122"/>
  <c r="U121"/>
  <c r="U120"/>
  <c r="U119"/>
  <c r="U118"/>
  <c r="U117"/>
  <c r="U116"/>
  <c r="U114"/>
  <c r="U113"/>
  <c r="U112"/>
  <c r="U111"/>
  <c r="U110"/>
  <c r="U109"/>
  <c r="U108"/>
  <c r="U107"/>
  <c r="U106"/>
  <c r="U105"/>
  <c r="U104"/>
  <c r="U103"/>
  <c r="U102"/>
  <c r="U101"/>
  <c r="U100"/>
  <c r="U99"/>
  <c r="U98"/>
  <c r="U97"/>
  <c r="U96"/>
  <c r="U95"/>
  <c r="U94"/>
  <c r="U92"/>
  <c r="U91"/>
  <c r="U90"/>
  <c r="V88"/>
  <c r="U88" s="1"/>
  <c r="V87"/>
  <c r="U87" s="1"/>
  <c r="V86"/>
  <c r="U86" s="1"/>
  <c r="U85"/>
  <c r="U84"/>
  <c r="U83"/>
  <c r="U82"/>
  <c r="U80"/>
  <c r="U78"/>
  <c r="U77"/>
  <c r="U76"/>
  <c r="U75"/>
  <c r="U74"/>
  <c r="U73"/>
  <c r="U72"/>
  <c r="U70"/>
  <c r="U69"/>
  <c r="U68"/>
  <c r="U67"/>
  <c r="U65"/>
  <c r="U64"/>
  <c r="U62"/>
  <c r="U61"/>
  <c r="U60"/>
  <c r="U57"/>
  <c r="U56"/>
  <c r="U55"/>
  <c r="V52"/>
  <c r="U52" s="1"/>
  <c r="V51"/>
  <c r="U51" s="1"/>
  <c r="V50"/>
  <c r="U50" s="1"/>
  <c r="U49"/>
  <c r="U48"/>
  <c r="U47"/>
  <c r="U46"/>
  <c r="U45"/>
  <c r="U44"/>
  <c r="U43"/>
  <c r="V40"/>
  <c r="U40" s="1"/>
  <c r="U38"/>
  <c r="U37"/>
  <c r="U36"/>
  <c r="U34"/>
  <c r="U29"/>
  <c r="U28"/>
  <c r="U27"/>
  <c r="U26"/>
  <c r="U25"/>
  <c r="U24"/>
  <c r="U23"/>
  <c r="U21"/>
  <c r="U20"/>
  <c r="U19"/>
  <c r="U17"/>
  <c r="U16"/>
  <c r="U14"/>
  <c r="V12"/>
  <c r="U12" s="1"/>
  <c r="V11"/>
  <c r="U11" s="1"/>
  <c r="V10"/>
  <c r="U10" s="1"/>
  <c r="V9"/>
  <c r="U9" s="1"/>
  <c r="V8"/>
  <c r="U8" s="1"/>
  <c r="C463"/>
  <c r="B463"/>
  <c r="AV463"/>
  <c r="AM463"/>
  <c r="AL463"/>
  <c r="AK463"/>
  <c r="AJ463"/>
  <c r="AF463"/>
  <c r="AE463"/>
  <c r="AC463"/>
  <c r="AB463"/>
  <c r="AA463"/>
  <c r="AD463" l="1"/>
  <c r="AI463"/>
  <c r="AJ228"/>
  <c r="AJ210"/>
  <c r="AJ73"/>
  <c r="AJ9"/>
  <c r="AJ36"/>
  <c r="AG7"/>
  <c r="AG2"/>
  <c r="AF310"/>
  <c r="AF229"/>
  <c r="AF59"/>
  <c r="AF31"/>
  <c r="AJ185"/>
  <c r="AJ126"/>
  <c r="AJ123"/>
  <c r="AJ211"/>
  <c r="AJ188"/>
  <c r="AJ171"/>
  <c r="AJ144"/>
  <c r="AJ93"/>
  <c r="AJ17"/>
  <c r="AJ80"/>
  <c r="AJ117"/>
  <c r="AJ131"/>
  <c r="AJ130"/>
  <c r="AJ129"/>
  <c r="AJ142"/>
  <c r="AI142" s="1"/>
  <c r="AJ141"/>
  <c r="AJ147"/>
  <c r="AJ162"/>
  <c r="AJ159"/>
  <c r="AJ177"/>
  <c r="AJ209"/>
  <c r="AJ233"/>
  <c r="AJ277"/>
  <c r="AJ261"/>
  <c r="AJ252"/>
  <c r="AJ242"/>
  <c r="AJ241"/>
  <c r="AF400"/>
  <c r="AF219"/>
  <c r="AF200"/>
  <c r="AJ220" l="1"/>
  <c r="AF272"/>
  <c r="AF88"/>
  <c r="AF87"/>
  <c r="AF38"/>
  <c r="AF73"/>
  <c r="AJ67"/>
  <c r="AI67" s="1"/>
  <c r="AF67"/>
  <c r="AV462"/>
  <c r="C462"/>
  <c r="B462"/>
  <c r="AV461"/>
  <c r="C461"/>
  <c r="B461"/>
  <c r="AV460"/>
  <c r="C460"/>
  <c r="B460"/>
  <c r="AK150"/>
  <c r="AL63"/>
  <c r="AJ459"/>
  <c r="AJ458"/>
  <c r="AJ456"/>
  <c r="AJ443"/>
  <c r="AJ429"/>
  <c r="AJ428"/>
  <c r="AJ419"/>
  <c r="AJ409"/>
  <c r="AJ381"/>
  <c r="AJ377"/>
  <c r="AJ369"/>
  <c r="AJ366"/>
  <c r="AJ360"/>
  <c r="AJ343"/>
  <c r="AJ340"/>
  <c r="AJ337"/>
  <c r="AJ332"/>
  <c r="AJ330"/>
  <c r="AJ322"/>
  <c r="AJ317"/>
  <c r="AJ309"/>
  <c r="AJ307"/>
  <c r="AJ275"/>
  <c r="AJ270"/>
  <c r="AJ262"/>
  <c r="AJ247"/>
  <c r="AJ246"/>
  <c r="AJ229"/>
  <c r="AJ227"/>
  <c r="AJ218"/>
  <c r="AJ213"/>
  <c r="AF213"/>
  <c r="AJ212"/>
  <c r="AJ206"/>
  <c r="AJ196"/>
  <c r="AJ193"/>
  <c r="AJ190"/>
  <c r="AJ189"/>
  <c r="AJ165"/>
  <c r="AJ149"/>
  <c r="AJ135"/>
  <c r="AJ134"/>
  <c r="AJ132"/>
  <c r="AJ121"/>
  <c r="AJ120"/>
  <c r="AJ119"/>
  <c r="AJ118"/>
  <c r="AJ116"/>
  <c r="AJ115"/>
  <c r="AJ114"/>
  <c r="AJ113"/>
  <c r="AJ112"/>
  <c r="AJ111"/>
  <c r="AJ109"/>
  <c r="AJ107"/>
  <c r="AJ106"/>
  <c r="AF105"/>
  <c r="AJ100"/>
  <c r="AJ94"/>
  <c r="AJ90"/>
  <c r="AJ84"/>
  <c r="AJ64"/>
  <c r="AJ59"/>
  <c r="AJ44"/>
  <c r="AJ42"/>
  <c r="AF33"/>
  <c r="AJ31"/>
  <c r="AJ30"/>
  <c r="AJ28"/>
  <c r="AJ27"/>
  <c r="AJ26"/>
  <c r="AJ25"/>
  <c r="AJ24"/>
  <c r="AJ23"/>
  <c r="AJ22"/>
  <c r="AJ21"/>
  <c r="AJ20"/>
  <c r="AJ19"/>
  <c r="AJ18"/>
  <c r="AJ16"/>
  <c r="AJ15"/>
  <c r="AJ14"/>
  <c r="AJ13"/>
  <c r="AJ12"/>
  <c r="AJ11"/>
  <c r="AJ10"/>
  <c r="AJ8"/>
  <c r="AJ7"/>
  <c r="AK459"/>
  <c r="AK458"/>
  <c r="AK457"/>
  <c r="AK456"/>
  <c r="AK455"/>
  <c r="AK454"/>
  <c r="AK453"/>
  <c r="AK452"/>
  <c r="AK451"/>
  <c r="AK450"/>
  <c r="AK449"/>
  <c r="AK448"/>
  <c r="AK405"/>
  <c r="AK404"/>
  <c r="AK403"/>
  <c r="AK351"/>
  <c r="AK350"/>
  <c r="AK349"/>
  <c r="AK348"/>
  <c r="AK347"/>
  <c r="AK346"/>
  <c r="AK345"/>
  <c r="AK344"/>
  <c r="AK343"/>
  <c r="AK340"/>
  <c r="AK339"/>
  <c r="AK337"/>
  <c r="AK335"/>
  <c r="AK334"/>
  <c r="AK333"/>
  <c r="AK331"/>
  <c r="AK330"/>
  <c r="AK329"/>
  <c r="AK328"/>
  <c r="AK327"/>
  <c r="AK325"/>
  <c r="AK324"/>
  <c r="AK323"/>
  <c r="AK322"/>
  <c r="AK321"/>
  <c r="AK320"/>
  <c r="AK319"/>
  <c r="AK318"/>
  <c r="AK317"/>
  <c r="AK316"/>
  <c r="AK315"/>
  <c r="AK314"/>
  <c r="AK313"/>
  <c r="AK312"/>
  <c r="AK311"/>
  <c r="AK310"/>
  <c r="AK284"/>
  <c r="AK282"/>
  <c r="AK281"/>
  <c r="AK280"/>
  <c r="AK279"/>
  <c r="AK278"/>
  <c r="AK276"/>
  <c r="AK275"/>
  <c r="AK274"/>
  <c r="AK273"/>
  <c r="AK267"/>
  <c r="AK266"/>
  <c r="AK265"/>
  <c r="AK264"/>
  <c r="AK263"/>
  <c r="AK262"/>
  <c r="AK261"/>
  <c r="AK260"/>
  <c r="AK259"/>
  <c r="AK258"/>
  <c r="AK257"/>
  <c r="AK256"/>
  <c r="AK255"/>
  <c r="AK254"/>
  <c r="AK253"/>
  <c r="AK252"/>
  <c r="AK251"/>
  <c r="AK250"/>
  <c r="AK249"/>
  <c r="AK248"/>
  <c r="AK247"/>
  <c r="AK246"/>
  <c r="AK245"/>
  <c r="AK244"/>
  <c r="AK243"/>
  <c r="AK242"/>
  <c r="AK241"/>
  <c r="AK240"/>
  <c r="AK239"/>
  <c r="AK238"/>
  <c r="AK237"/>
  <c r="AK236"/>
  <c r="AK235"/>
  <c r="AK234"/>
  <c r="AK233"/>
  <c r="AK225"/>
  <c r="AK224"/>
  <c r="AK223"/>
  <c r="AK222"/>
  <c r="AK221"/>
  <c r="AK220"/>
  <c r="AK219"/>
  <c r="AK218"/>
  <c r="AK217"/>
  <c r="AK216"/>
  <c r="AK215"/>
  <c r="AK212"/>
  <c r="AK211"/>
  <c r="AK210"/>
  <c r="AK209"/>
  <c r="AK208"/>
  <c r="AK203"/>
  <c r="AK202"/>
  <c r="AK201"/>
  <c r="AK200"/>
  <c r="AK148"/>
  <c r="AK147"/>
  <c r="AK145"/>
  <c r="AK144"/>
  <c r="AI73" l="1"/>
  <c r="AJ155"/>
  <c r="AJ105"/>
  <c r="AI105" s="1"/>
  <c r="AV459"/>
  <c r="AM459"/>
  <c r="AF459"/>
  <c r="AE459"/>
  <c r="AC459"/>
  <c r="AB459"/>
  <c r="AA459"/>
  <c r="C459"/>
  <c r="B459"/>
  <c r="AM2"/>
  <c r="V2"/>
  <c r="AJ451"/>
  <c r="AJ424"/>
  <c r="AJ411"/>
  <c r="AJ401"/>
  <c r="AJ400"/>
  <c r="AJ399"/>
  <c r="AJ398"/>
  <c r="AJ397"/>
  <c r="AJ396"/>
  <c r="AJ395"/>
  <c r="AJ394"/>
  <c r="AJ393"/>
  <c r="AJ392"/>
  <c r="AJ391"/>
  <c r="AJ390"/>
  <c r="AJ389"/>
  <c r="AJ382"/>
  <c r="AJ380"/>
  <c r="AJ379"/>
  <c r="AJ378"/>
  <c r="AJ376"/>
  <c r="AJ375"/>
  <c r="AJ374"/>
  <c r="AJ373"/>
  <c r="AJ372"/>
  <c r="AJ371"/>
  <c r="AJ370"/>
  <c r="AJ365"/>
  <c r="AJ364"/>
  <c r="AJ363"/>
  <c r="AJ362"/>
  <c r="AJ361"/>
  <c r="AJ359"/>
  <c r="AJ358"/>
  <c r="AJ357"/>
  <c r="AJ350"/>
  <c r="AJ349"/>
  <c r="AJ348"/>
  <c r="AJ347"/>
  <c r="AJ346"/>
  <c r="AJ342"/>
  <c r="AJ325"/>
  <c r="AJ324"/>
  <c r="AJ323"/>
  <c r="AJ308"/>
  <c r="AJ306"/>
  <c r="AJ305"/>
  <c r="AJ304"/>
  <c r="AJ303"/>
  <c r="AJ302"/>
  <c r="AJ301"/>
  <c r="AJ300"/>
  <c r="AJ299"/>
  <c r="AJ298"/>
  <c r="AJ297"/>
  <c r="AJ296"/>
  <c r="AJ295"/>
  <c r="AJ294"/>
  <c r="AJ293"/>
  <c r="AJ292"/>
  <c r="AJ291"/>
  <c r="AJ290"/>
  <c r="AJ289"/>
  <c r="AJ286"/>
  <c r="AJ281"/>
  <c r="AJ274"/>
  <c r="AJ267"/>
  <c r="AJ249"/>
  <c r="AJ248"/>
  <c r="AJ245"/>
  <c r="AJ243"/>
  <c r="AJ235"/>
  <c r="AJ216"/>
  <c r="AJ207"/>
  <c r="AJ205"/>
  <c r="AJ197"/>
  <c r="AF193"/>
  <c r="AI193" s="1"/>
  <c r="AJ192"/>
  <c r="AJ178"/>
  <c r="AJ176"/>
  <c r="AJ175"/>
  <c r="AJ173"/>
  <c r="AJ172"/>
  <c r="AJ170"/>
  <c r="AJ161"/>
  <c r="AJ158"/>
  <c r="AJ157"/>
  <c r="AJ156"/>
  <c r="AJ154"/>
  <c r="AJ153"/>
  <c r="AJ152"/>
  <c r="AJ151"/>
  <c r="AJ150"/>
  <c r="AJ148"/>
  <c r="AJ146"/>
  <c r="AJ145"/>
  <c r="AJ133"/>
  <c r="AJ128"/>
  <c r="AJ127"/>
  <c r="AJ99"/>
  <c r="AJ92"/>
  <c r="AJ91"/>
  <c r="AJ89"/>
  <c r="AJ88"/>
  <c r="AJ87"/>
  <c r="AJ86"/>
  <c r="AJ85"/>
  <c r="AJ83"/>
  <c r="AJ82"/>
  <c r="AJ81"/>
  <c r="AJ79"/>
  <c r="AJ78"/>
  <c r="AJ77"/>
  <c r="AJ76"/>
  <c r="AJ75"/>
  <c r="AJ74"/>
  <c r="AJ69"/>
  <c r="AJ68"/>
  <c r="AJ66"/>
  <c r="AJ65"/>
  <c r="AJ60"/>
  <c r="AJ58"/>
  <c r="AJ57"/>
  <c r="AJ56"/>
  <c r="AJ55"/>
  <c r="AJ54"/>
  <c r="AJ53"/>
  <c r="AJ52"/>
  <c r="AJ51"/>
  <c r="AJ50"/>
  <c r="AJ49"/>
  <c r="AJ48"/>
  <c r="AJ47"/>
  <c r="AJ46"/>
  <c r="AJ45"/>
  <c r="AJ38"/>
  <c r="AJ37"/>
  <c r="AJ35"/>
  <c r="AJ34"/>
  <c r="AJ33"/>
  <c r="AJ32"/>
  <c r="AJ29"/>
  <c r="AJ435"/>
  <c r="AF210"/>
  <c r="AF209"/>
  <c r="AF208"/>
  <c r="AF16"/>
  <c r="AF458"/>
  <c r="AL207"/>
  <c r="AL206"/>
  <c r="AL429"/>
  <c r="AL428"/>
  <c r="AL427"/>
  <c r="AL426"/>
  <c r="AL425"/>
  <c r="AL424"/>
  <c r="AL423"/>
  <c r="AL422"/>
  <c r="AL421"/>
  <c r="AL420"/>
  <c r="AL419"/>
  <c r="AL418"/>
  <c r="AL301"/>
  <c r="AJ457"/>
  <c r="AJ455"/>
  <c r="AJ454"/>
  <c r="AJ453"/>
  <c r="AJ452"/>
  <c r="AJ450"/>
  <c r="AJ449"/>
  <c r="AJ448"/>
  <c r="AJ447"/>
  <c r="AJ446"/>
  <c r="AJ445"/>
  <c r="AJ444"/>
  <c r="AJ442"/>
  <c r="AJ441"/>
  <c r="AJ440"/>
  <c r="AJ439"/>
  <c r="AJ438"/>
  <c r="AJ437"/>
  <c r="AJ436"/>
  <c r="AJ434"/>
  <c r="AJ433"/>
  <c r="AJ432"/>
  <c r="AJ431"/>
  <c r="AJ430"/>
  <c r="AJ427"/>
  <c r="AJ426"/>
  <c r="AJ425"/>
  <c r="AJ423"/>
  <c r="AJ422"/>
  <c r="AJ421"/>
  <c r="AJ420"/>
  <c r="AJ418"/>
  <c r="AJ417"/>
  <c r="AJ416"/>
  <c r="AJ415"/>
  <c r="AJ414"/>
  <c r="AJ413"/>
  <c r="AJ412"/>
  <c r="AJ410"/>
  <c r="AJ408"/>
  <c r="AJ407"/>
  <c r="AJ406"/>
  <c r="AJ405"/>
  <c r="AJ387"/>
  <c r="AJ386"/>
  <c r="AJ385"/>
  <c r="AJ384"/>
  <c r="AJ383"/>
  <c r="AJ368"/>
  <c r="AJ367"/>
  <c r="AJ334"/>
  <c r="AJ331"/>
  <c r="AJ326"/>
  <c r="AJ320"/>
  <c r="AJ312"/>
  <c r="AJ230"/>
  <c r="AJ221"/>
  <c r="AJ98"/>
  <c r="AF80"/>
  <c r="AI80" s="1"/>
  <c r="AF79"/>
  <c r="AJ288"/>
  <c r="AJ287"/>
  <c r="AJ285"/>
  <c r="AJ284"/>
  <c r="AJ283"/>
  <c r="AJ282"/>
  <c r="AJ280"/>
  <c r="AJ279"/>
  <c r="AJ278"/>
  <c r="AJ276"/>
  <c r="AJ273"/>
  <c r="AJ272"/>
  <c r="AJ271"/>
  <c r="AJ269"/>
  <c r="AJ268"/>
  <c r="AJ266"/>
  <c r="AJ265"/>
  <c r="AJ264"/>
  <c r="AJ263"/>
  <c r="AJ260"/>
  <c r="AJ259"/>
  <c r="AJ258"/>
  <c r="AJ257"/>
  <c r="AJ256"/>
  <c r="AJ255"/>
  <c r="AJ254"/>
  <c r="AJ253"/>
  <c r="AJ251"/>
  <c r="AJ250"/>
  <c r="AJ244"/>
  <c r="AJ240"/>
  <c r="AJ239"/>
  <c r="AJ202"/>
  <c r="AJ201"/>
  <c r="AJ200"/>
  <c r="AJ199"/>
  <c r="AJ198"/>
  <c r="AJ195"/>
  <c r="AJ194"/>
  <c r="AJ191"/>
  <c r="AJ187"/>
  <c r="AJ186"/>
  <c r="AJ184"/>
  <c r="AJ183"/>
  <c r="AJ182"/>
  <c r="AJ181"/>
  <c r="AJ180"/>
  <c r="AJ179"/>
  <c r="AJ174"/>
  <c r="AJ169"/>
  <c r="AJ168"/>
  <c r="AJ167"/>
  <c r="AJ166"/>
  <c r="AJ164"/>
  <c r="AJ163"/>
  <c r="AJ160"/>
  <c r="AJ139"/>
  <c r="AJ138"/>
  <c r="AJ137"/>
  <c r="AJ136"/>
  <c r="AJ125"/>
  <c r="AJ124"/>
  <c r="AJ122"/>
  <c r="AJ110"/>
  <c r="AJ108"/>
  <c r="AJ104"/>
  <c r="AJ103"/>
  <c r="AJ102"/>
  <c r="AJ101"/>
  <c r="AJ72"/>
  <c r="AJ71"/>
  <c r="AJ70"/>
  <c r="AJ63"/>
  <c r="AJ62"/>
  <c r="AJ61"/>
  <c r="AJ43"/>
  <c r="AJ41"/>
  <c r="AJ40"/>
  <c r="AJ39"/>
  <c r="AF82"/>
  <c r="AI82" s="1"/>
  <c r="AI400"/>
  <c r="AI272"/>
  <c r="AI88"/>
  <c r="AI87"/>
  <c r="AL154"/>
  <c r="AL3"/>
  <c r="AJ404"/>
  <c r="AJ388"/>
  <c r="AJ356"/>
  <c r="AJ355"/>
  <c r="AJ354"/>
  <c r="AJ353"/>
  <c r="AJ352"/>
  <c r="AJ351"/>
  <c r="AJ345"/>
  <c r="AJ344"/>
  <c r="AJ341"/>
  <c r="AJ339"/>
  <c r="AJ338"/>
  <c r="AJ336"/>
  <c r="AJ335"/>
  <c r="AJ316"/>
  <c r="AJ226"/>
  <c r="AJ225"/>
  <c r="AJ224"/>
  <c r="AJ97"/>
  <c r="AJ96"/>
  <c r="AJ95"/>
  <c r="AI213"/>
  <c r="AF321"/>
  <c r="AF311"/>
  <c r="AF242"/>
  <c r="AF214"/>
  <c r="AF201"/>
  <c r="AF364"/>
  <c r="AI364" s="1"/>
  <c r="AI31"/>
  <c r="AI202" l="1"/>
  <c r="AI201"/>
  <c r="AI79"/>
  <c r="AI200"/>
  <c r="AI242"/>
  <c r="AI458"/>
  <c r="AI210"/>
  <c r="AI33"/>
  <c r="AI459"/>
  <c r="AD459"/>
  <c r="AJ236" l="1"/>
  <c r="AJ311" l="1"/>
  <c r="AI311" s="1"/>
  <c r="AJ310"/>
  <c r="AJ208"/>
  <c r="AI208" s="1"/>
  <c r="AI209"/>
  <c r="AL168"/>
  <c r="AF457"/>
  <c r="AI457" s="1"/>
  <c r="AF456"/>
  <c r="AI456" s="1"/>
  <c r="AF455"/>
  <c r="AI455" s="1"/>
  <c r="AF454"/>
  <c r="AI454" s="1"/>
  <c r="AF453"/>
  <c r="AI453" s="1"/>
  <c r="AF452"/>
  <c r="AI452" s="1"/>
  <c r="AF451"/>
  <c r="AI451" s="1"/>
  <c r="AF450"/>
  <c r="AI450" s="1"/>
  <c r="AF449"/>
  <c r="AI449" s="1"/>
  <c r="AF448"/>
  <c r="AI448" s="1"/>
  <c r="AF447"/>
  <c r="AI447" s="1"/>
  <c r="AF446"/>
  <c r="AI446" s="1"/>
  <c r="AF445"/>
  <c r="AI445" s="1"/>
  <c r="AF444"/>
  <c r="AI444" s="1"/>
  <c r="AF443"/>
  <c r="AI443" s="1"/>
  <c r="AF442"/>
  <c r="AI442" s="1"/>
  <c r="AF441"/>
  <c r="AI441" s="1"/>
  <c r="AF440"/>
  <c r="AI440" s="1"/>
  <c r="AF439"/>
  <c r="AI439" s="1"/>
  <c r="AF438"/>
  <c r="AI438" s="1"/>
  <c r="AF437"/>
  <c r="AI437" s="1"/>
  <c r="AF436"/>
  <c r="AI436" s="1"/>
  <c r="AF435"/>
  <c r="AI435" s="1"/>
  <c r="AF434"/>
  <c r="AI434" s="1"/>
  <c r="AF433"/>
  <c r="AI433" s="1"/>
  <c r="AF432"/>
  <c r="AI432" s="1"/>
  <c r="AF431"/>
  <c r="AI431" s="1"/>
  <c r="AF430"/>
  <c r="AI430" s="1"/>
  <c r="AF429"/>
  <c r="AI429" s="1"/>
  <c r="AF428"/>
  <c r="AI428" s="1"/>
  <c r="AF427"/>
  <c r="AI427" s="1"/>
  <c r="AF426"/>
  <c r="AI426" s="1"/>
  <c r="AF425"/>
  <c r="AI425" s="1"/>
  <c r="AF424"/>
  <c r="AI424" s="1"/>
  <c r="AF423"/>
  <c r="AI423" s="1"/>
  <c r="AF422"/>
  <c r="AI422" s="1"/>
  <c r="AF421"/>
  <c r="AI421" s="1"/>
  <c r="AF420"/>
  <c r="AI420" s="1"/>
  <c r="AF419"/>
  <c r="AI419" s="1"/>
  <c r="AF418"/>
  <c r="AI418" s="1"/>
  <c r="AF417"/>
  <c r="AI417" s="1"/>
  <c r="AF416"/>
  <c r="AI416" s="1"/>
  <c r="AF415"/>
  <c r="AI415" s="1"/>
  <c r="AF414"/>
  <c r="AI414" s="1"/>
  <c r="AF413"/>
  <c r="AI413" s="1"/>
  <c r="AF412"/>
  <c r="AI412" s="1"/>
  <c r="AF411"/>
  <c r="AI411" s="1"/>
  <c r="AF410"/>
  <c r="AI410" s="1"/>
  <c r="AF409"/>
  <c r="AI409" s="1"/>
  <c r="AF408"/>
  <c r="AI408" s="1"/>
  <c r="AF407"/>
  <c r="AI407" s="1"/>
  <c r="AF406"/>
  <c r="AI406" s="1"/>
  <c r="AF405"/>
  <c r="AI405" s="1"/>
  <c r="AF404"/>
  <c r="AF403"/>
  <c r="AF402"/>
  <c r="AF399"/>
  <c r="AI399" s="1"/>
  <c r="AF398"/>
  <c r="AI398" s="1"/>
  <c r="AF397"/>
  <c r="AI397" s="1"/>
  <c r="AF396"/>
  <c r="AI396" s="1"/>
  <c r="AF395"/>
  <c r="AI395" s="1"/>
  <c r="AF394"/>
  <c r="AI394" s="1"/>
  <c r="AF393"/>
  <c r="AI393" s="1"/>
  <c r="AF392"/>
  <c r="AI392" s="1"/>
  <c r="AF391"/>
  <c r="AI391" s="1"/>
  <c r="AF390"/>
  <c r="AI390" s="1"/>
  <c r="AF389"/>
  <c r="AI389" s="1"/>
  <c r="AF388"/>
  <c r="AI388" s="1"/>
  <c r="AF387"/>
  <c r="AI387" s="1"/>
  <c r="AF386"/>
  <c r="AI386" s="1"/>
  <c r="AF385"/>
  <c r="AI385" s="1"/>
  <c r="AF384"/>
  <c r="AI384" s="1"/>
  <c r="AF383"/>
  <c r="AI383" s="1"/>
  <c r="AF382"/>
  <c r="AI382" s="1"/>
  <c r="AF381"/>
  <c r="AI381" s="1"/>
  <c r="AF380"/>
  <c r="AI380" s="1"/>
  <c r="AF379"/>
  <c r="AI379" s="1"/>
  <c r="AF378"/>
  <c r="AI378" s="1"/>
  <c r="AF377"/>
  <c r="AI377" s="1"/>
  <c r="AF376"/>
  <c r="AI376" s="1"/>
  <c r="AF375"/>
  <c r="AI375" s="1"/>
  <c r="AF374"/>
  <c r="AI374" s="1"/>
  <c r="AF373"/>
  <c r="AI373" s="1"/>
  <c r="AF372"/>
  <c r="AI372" s="1"/>
  <c r="AF371"/>
  <c r="AI371" s="1"/>
  <c r="AF370"/>
  <c r="AI370" s="1"/>
  <c r="AF369"/>
  <c r="AI369" s="1"/>
  <c r="AF368"/>
  <c r="AI368" s="1"/>
  <c r="AF367"/>
  <c r="AI367" s="1"/>
  <c r="AF366"/>
  <c r="AI366" s="1"/>
  <c r="AF365"/>
  <c r="AI365" s="1"/>
  <c r="AF363"/>
  <c r="AI363" s="1"/>
  <c r="AF362"/>
  <c r="AI362" s="1"/>
  <c r="AF361"/>
  <c r="AI361" s="1"/>
  <c r="AF360"/>
  <c r="AI360" s="1"/>
  <c r="AF359"/>
  <c r="AI359" s="1"/>
  <c r="AF358"/>
  <c r="AI358" s="1"/>
  <c r="AF357"/>
  <c r="AI357" s="1"/>
  <c r="AF356"/>
  <c r="AI356" s="1"/>
  <c r="AF355"/>
  <c r="AI355" s="1"/>
  <c r="AF354"/>
  <c r="AI354" s="1"/>
  <c r="AF353"/>
  <c r="AI353" s="1"/>
  <c r="AF352"/>
  <c r="AI352" s="1"/>
  <c r="AF351"/>
  <c r="AI351" s="1"/>
  <c r="AF350"/>
  <c r="AI350" s="1"/>
  <c r="AF349"/>
  <c r="AI349" s="1"/>
  <c r="AF348"/>
  <c r="AI348" s="1"/>
  <c r="AF347"/>
  <c r="AI347" s="1"/>
  <c r="AF346"/>
  <c r="AI346" s="1"/>
  <c r="AF345"/>
  <c r="AI345" s="1"/>
  <c r="AF344"/>
  <c r="AI344" s="1"/>
  <c r="AF343"/>
  <c r="AI343" s="1"/>
  <c r="AF342"/>
  <c r="AI342" s="1"/>
  <c r="AF341"/>
  <c r="AI341" s="1"/>
  <c r="AF340"/>
  <c r="AI340" s="1"/>
  <c r="AF339"/>
  <c r="AI339" s="1"/>
  <c r="AF338"/>
  <c r="AI338" s="1"/>
  <c r="AF337"/>
  <c r="AI337" s="1"/>
  <c r="AF336"/>
  <c r="AI336" s="1"/>
  <c r="AF335"/>
  <c r="AI335" s="1"/>
  <c r="AF334"/>
  <c r="AI334" s="1"/>
  <c r="AF333"/>
  <c r="AF332"/>
  <c r="AI332" s="1"/>
  <c r="AF331"/>
  <c r="AI331" s="1"/>
  <c r="AF330"/>
  <c r="AI330" s="1"/>
  <c r="AF329"/>
  <c r="AF328"/>
  <c r="AF327"/>
  <c r="AF326"/>
  <c r="AI326" s="1"/>
  <c r="AF325"/>
  <c r="AI325" s="1"/>
  <c r="AF324"/>
  <c r="AI324" s="1"/>
  <c r="AF323"/>
  <c r="AI323" s="1"/>
  <c r="AF322"/>
  <c r="AI322" s="1"/>
  <c r="AF320"/>
  <c r="AI320" s="1"/>
  <c r="AF319"/>
  <c r="AF318"/>
  <c r="AF317"/>
  <c r="AI317" s="1"/>
  <c r="AF316"/>
  <c r="AI316" s="1"/>
  <c r="AF315"/>
  <c r="AF314"/>
  <c r="AF313"/>
  <c r="AF312"/>
  <c r="AI312" s="1"/>
  <c r="AF309"/>
  <c r="AI309" s="1"/>
  <c r="AF308"/>
  <c r="AI308" s="1"/>
  <c r="AF307"/>
  <c r="AI307" s="1"/>
  <c r="AF306"/>
  <c r="AI306" s="1"/>
  <c r="AF305"/>
  <c r="AI305" s="1"/>
  <c r="AF304"/>
  <c r="AI304" s="1"/>
  <c r="AF303"/>
  <c r="AI303" s="1"/>
  <c r="AF302"/>
  <c r="AI302" s="1"/>
  <c r="AF301"/>
  <c r="AI301" s="1"/>
  <c r="AF300"/>
  <c r="AI300" s="1"/>
  <c r="AF299"/>
  <c r="AI299" s="1"/>
  <c r="AF298"/>
  <c r="AI298" s="1"/>
  <c r="AF297"/>
  <c r="AI297" s="1"/>
  <c r="AF296"/>
  <c r="AI296" s="1"/>
  <c r="AF295"/>
  <c r="AI295" s="1"/>
  <c r="AF294"/>
  <c r="AI294" s="1"/>
  <c r="AF293"/>
  <c r="AI293" s="1"/>
  <c r="AF292"/>
  <c r="AI292" s="1"/>
  <c r="AF291"/>
  <c r="AI291" s="1"/>
  <c r="AF290"/>
  <c r="AI290" s="1"/>
  <c r="AF289"/>
  <c r="AI289" s="1"/>
  <c r="AF288"/>
  <c r="AI288" s="1"/>
  <c r="AF287"/>
  <c r="AI287" s="1"/>
  <c r="AF286"/>
  <c r="AI286" s="1"/>
  <c r="AF285"/>
  <c r="AI285" s="1"/>
  <c r="AF284"/>
  <c r="AI284" s="1"/>
  <c r="AF283"/>
  <c r="AI283" s="1"/>
  <c r="AF282"/>
  <c r="AI282" s="1"/>
  <c r="AF281"/>
  <c r="AI281" s="1"/>
  <c r="AF280"/>
  <c r="AI280" s="1"/>
  <c r="AF279"/>
  <c r="AI279" s="1"/>
  <c r="AF278"/>
  <c r="AI278" s="1"/>
  <c r="AF277"/>
  <c r="AI277" s="1"/>
  <c r="AF276"/>
  <c r="AI276" s="1"/>
  <c r="AF275"/>
  <c r="AI275" s="1"/>
  <c r="AF274"/>
  <c r="AI274" s="1"/>
  <c r="AF273"/>
  <c r="AI273" s="1"/>
  <c r="AF271"/>
  <c r="AI271" s="1"/>
  <c r="AF270"/>
  <c r="AI270" s="1"/>
  <c r="AF269"/>
  <c r="AI269" s="1"/>
  <c r="AF268"/>
  <c r="AI268" s="1"/>
  <c r="AF267"/>
  <c r="AI267" s="1"/>
  <c r="AF266"/>
  <c r="AI266" s="1"/>
  <c r="AF265"/>
  <c r="AI265" s="1"/>
  <c r="AF264"/>
  <c r="AI264" s="1"/>
  <c r="AF263"/>
  <c r="AI263" s="1"/>
  <c r="AF262"/>
  <c r="AI262" s="1"/>
  <c r="AF261"/>
  <c r="AI261" s="1"/>
  <c r="AF260"/>
  <c r="AI260" s="1"/>
  <c r="AF259"/>
  <c r="AI259" s="1"/>
  <c r="AF258"/>
  <c r="AI258" s="1"/>
  <c r="AF257"/>
  <c r="AF256"/>
  <c r="AI256" s="1"/>
  <c r="AF255"/>
  <c r="AF254"/>
  <c r="AF253"/>
  <c r="AF252"/>
  <c r="AI252" s="1"/>
  <c r="AF251"/>
  <c r="AI251" s="1"/>
  <c r="AF250"/>
  <c r="AI250" s="1"/>
  <c r="AF249"/>
  <c r="AI249" s="1"/>
  <c r="AF248"/>
  <c r="AI248" s="1"/>
  <c r="AF247"/>
  <c r="AI247" s="1"/>
  <c r="AF246"/>
  <c r="AI246" s="1"/>
  <c r="AF245"/>
  <c r="AI245" s="1"/>
  <c r="AF244"/>
  <c r="AI244" s="1"/>
  <c r="AF243"/>
  <c r="AI243" s="1"/>
  <c r="AF241"/>
  <c r="AI241" s="1"/>
  <c r="AF240"/>
  <c r="AI240" s="1"/>
  <c r="AF239"/>
  <c r="AI239" s="1"/>
  <c r="AF238"/>
  <c r="AF237"/>
  <c r="AF236"/>
  <c r="AF235"/>
  <c r="AI235" s="1"/>
  <c r="AF234"/>
  <c r="AF233"/>
  <c r="AI233" s="1"/>
  <c r="AF232"/>
  <c r="AF231"/>
  <c r="AF230"/>
  <c r="AF226"/>
  <c r="AF225"/>
  <c r="AI225" s="1"/>
  <c r="AF224"/>
  <c r="AI224" s="1"/>
  <c r="AF223"/>
  <c r="AF218"/>
  <c r="AI218" s="1"/>
  <c r="AF217"/>
  <c r="AF216"/>
  <c r="AI216" s="1"/>
  <c r="AF215"/>
  <c r="AJ214"/>
  <c r="AI214" s="1"/>
  <c r="AF212"/>
  <c r="AI212" s="1"/>
  <c r="AF211"/>
  <c r="AI211" s="1"/>
  <c r="AF207"/>
  <c r="AI207" s="1"/>
  <c r="AF206"/>
  <c r="AI206" s="1"/>
  <c r="AF205"/>
  <c r="AI205" s="1"/>
  <c r="AF204"/>
  <c r="AF203"/>
  <c r="AF199"/>
  <c r="AI199" s="1"/>
  <c r="AF198"/>
  <c r="AI198" s="1"/>
  <c r="AF197"/>
  <c r="AI197" s="1"/>
  <c r="AF196"/>
  <c r="AI196" s="1"/>
  <c r="AF195"/>
  <c r="AI195" s="1"/>
  <c r="AF194"/>
  <c r="AI194" s="1"/>
  <c r="AF192"/>
  <c r="AI192" s="1"/>
  <c r="AF191"/>
  <c r="AI191" s="1"/>
  <c r="AF190"/>
  <c r="AI190" s="1"/>
  <c r="AF189"/>
  <c r="AI189" s="1"/>
  <c r="AF188"/>
  <c r="AI188" s="1"/>
  <c r="AF187"/>
  <c r="AI187" s="1"/>
  <c r="AF186"/>
  <c r="AI186" s="1"/>
  <c r="AF185"/>
  <c r="AI185" s="1"/>
  <c r="AF184"/>
  <c r="AI184" s="1"/>
  <c r="AF183"/>
  <c r="AI183" s="1"/>
  <c r="AF182"/>
  <c r="AI182" s="1"/>
  <c r="AF181"/>
  <c r="AI181" s="1"/>
  <c r="AF180"/>
  <c r="AI180" s="1"/>
  <c r="AF179"/>
  <c r="AI179" s="1"/>
  <c r="AF178"/>
  <c r="AI178" s="1"/>
  <c r="AF177"/>
  <c r="AI177" s="1"/>
  <c r="AF176"/>
  <c r="AI176" s="1"/>
  <c r="AF175"/>
  <c r="AI175" s="1"/>
  <c r="AF174"/>
  <c r="AI174" s="1"/>
  <c r="AF173"/>
  <c r="AI173" s="1"/>
  <c r="AF172"/>
  <c r="AI172" s="1"/>
  <c r="AF171"/>
  <c r="AI171" s="1"/>
  <c r="AF170"/>
  <c r="AI170" s="1"/>
  <c r="AF169"/>
  <c r="AI169" s="1"/>
  <c r="AF168"/>
  <c r="AI168" s="1"/>
  <c r="AF167"/>
  <c r="AI167" s="1"/>
  <c r="AF166"/>
  <c r="AI166" s="1"/>
  <c r="AF165"/>
  <c r="AI165" s="1"/>
  <c r="AF164"/>
  <c r="AI164" s="1"/>
  <c r="AF163"/>
  <c r="AI163" s="1"/>
  <c r="AF162"/>
  <c r="AI162" s="1"/>
  <c r="AF161"/>
  <c r="AI161" s="1"/>
  <c r="AF160"/>
  <c r="AI160" s="1"/>
  <c r="AF159"/>
  <c r="AI159" s="1"/>
  <c r="AF158"/>
  <c r="AI158" s="1"/>
  <c r="AF157"/>
  <c r="AI157" s="1"/>
  <c r="AF156"/>
  <c r="AI156" s="1"/>
  <c r="AF155"/>
  <c r="AI155" s="1"/>
  <c r="AF154"/>
  <c r="AI154" s="1"/>
  <c r="AF153"/>
  <c r="AI153" s="1"/>
  <c r="AF152"/>
  <c r="AI152" s="1"/>
  <c r="AF151"/>
  <c r="AI151" s="1"/>
  <c r="AF150"/>
  <c r="AI150" s="1"/>
  <c r="AF149"/>
  <c r="AI149" s="1"/>
  <c r="AF148"/>
  <c r="AI148" s="1"/>
  <c r="AF147"/>
  <c r="AI147" s="1"/>
  <c r="AF146"/>
  <c r="AI146" s="1"/>
  <c r="AF145"/>
  <c r="AI145" s="1"/>
  <c r="AF144"/>
  <c r="AI144" s="1"/>
  <c r="AF143"/>
  <c r="AJ140"/>
  <c r="AF141"/>
  <c r="AF140"/>
  <c r="AF139"/>
  <c r="AI139" s="1"/>
  <c r="AF138"/>
  <c r="AI138" s="1"/>
  <c r="AF137"/>
  <c r="AI137" s="1"/>
  <c r="AF136"/>
  <c r="AI136" s="1"/>
  <c r="AF135"/>
  <c r="AI135" s="1"/>
  <c r="AF134"/>
  <c r="AI134" s="1"/>
  <c r="AF133"/>
  <c r="AI133" s="1"/>
  <c r="AF132"/>
  <c r="AI132" s="1"/>
  <c r="AF131"/>
  <c r="AI131" s="1"/>
  <c r="AF130"/>
  <c r="AI130" s="1"/>
  <c r="AF129"/>
  <c r="AI129" s="1"/>
  <c r="AF128"/>
  <c r="AI128" s="1"/>
  <c r="AF127"/>
  <c r="AI127" s="1"/>
  <c r="AF126"/>
  <c r="AI126" s="1"/>
  <c r="AF125"/>
  <c r="AI125" s="1"/>
  <c r="AF124"/>
  <c r="AI124" s="1"/>
  <c r="AF123"/>
  <c r="AI123" s="1"/>
  <c r="AF122"/>
  <c r="AI122" s="1"/>
  <c r="AF121"/>
  <c r="AI121" s="1"/>
  <c r="AF120"/>
  <c r="AI120" s="1"/>
  <c r="AF119"/>
  <c r="AI119" s="1"/>
  <c r="AF118"/>
  <c r="AI118" s="1"/>
  <c r="AF117"/>
  <c r="AI117" s="1"/>
  <c r="AF116"/>
  <c r="AI116" s="1"/>
  <c r="AF115"/>
  <c r="AI115" s="1"/>
  <c r="AF114"/>
  <c r="AI114" s="1"/>
  <c r="AF113"/>
  <c r="AI113" s="1"/>
  <c r="AF112"/>
  <c r="AI112" s="1"/>
  <c r="AF111"/>
  <c r="AI111" s="1"/>
  <c r="AF110"/>
  <c r="AI110" s="1"/>
  <c r="AF109"/>
  <c r="AI109" s="1"/>
  <c r="AF108"/>
  <c r="AI108" s="1"/>
  <c r="AF107"/>
  <c r="AI107" s="1"/>
  <c r="AF106"/>
  <c r="AI106" s="1"/>
  <c r="AF104"/>
  <c r="AI104" s="1"/>
  <c r="AF103"/>
  <c r="AI103" s="1"/>
  <c r="AF102"/>
  <c r="AI102" s="1"/>
  <c r="AF101"/>
  <c r="AI101" s="1"/>
  <c r="AF100"/>
  <c r="AI100" s="1"/>
  <c r="AF99"/>
  <c r="AI99" s="1"/>
  <c r="AF98"/>
  <c r="AI98" s="1"/>
  <c r="AF97"/>
  <c r="AF96"/>
  <c r="AF95"/>
  <c r="AI95" s="1"/>
  <c r="AF94"/>
  <c r="AI94" s="1"/>
  <c r="AF93"/>
  <c r="AI93" s="1"/>
  <c r="AF92"/>
  <c r="AI92" s="1"/>
  <c r="AF91"/>
  <c r="AI91" s="1"/>
  <c r="AF90"/>
  <c r="AI90" s="1"/>
  <c r="AF89"/>
  <c r="AF86"/>
  <c r="AI86" s="1"/>
  <c r="AF85"/>
  <c r="AI85" s="1"/>
  <c r="AF84"/>
  <c r="AI84" s="1"/>
  <c r="AF83"/>
  <c r="AI83" s="1"/>
  <c r="AF81"/>
  <c r="AI81" s="1"/>
  <c r="AF78"/>
  <c r="AI78" s="1"/>
  <c r="AF77"/>
  <c r="AI77" s="1"/>
  <c r="AF76"/>
  <c r="AI76" s="1"/>
  <c r="AF75"/>
  <c r="AI75" s="1"/>
  <c r="AF74"/>
  <c r="AI74" s="1"/>
  <c r="AF72"/>
  <c r="AI72" s="1"/>
  <c r="AF71"/>
  <c r="AI71" s="1"/>
  <c r="AF70"/>
  <c r="AI70" s="1"/>
  <c r="AF69"/>
  <c r="AI69" s="1"/>
  <c r="AF68"/>
  <c r="AI68" s="1"/>
  <c r="AF66"/>
  <c r="AI66" s="1"/>
  <c r="AF65"/>
  <c r="AI65" s="1"/>
  <c r="AF64"/>
  <c r="AI64" s="1"/>
  <c r="AF63"/>
  <c r="AI63" s="1"/>
  <c r="AF62"/>
  <c r="AI62" s="1"/>
  <c r="AF61"/>
  <c r="AI61" s="1"/>
  <c r="AF60"/>
  <c r="AI60" s="1"/>
  <c r="AI59"/>
  <c r="AF58"/>
  <c r="AI58" s="1"/>
  <c r="AF57"/>
  <c r="AI57" s="1"/>
  <c r="AF56"/>
  <c r="AI56" s="1"/>
  <c r="AF55"/>
  <c r="AI55" s="1"/>
  <c r="AF54"/>
  <c r="AI54" s="1"/>
  <c r="AF53"/>
  <c r="AI53" s="1"/>
  <c r="AF52"/>
  <c r="AI52" s="1"/>
  <c r="AF51"/>
  <c r="AI51" s="1"/>
  <c r="AF50"/>
  <c r="AI50" s="1"/>
  <c r="AF49"/>
  <c r="AI49" s="1"/>
  <c r="AF48"/>
  <c r="AI48" s="1"/>
  <c r="AF47"/>
  <c r="AI47" s="1"/>
  <c r="AF46"/>
  <c r="AI46" s="1"/>
  <c r="AF45"/>
  <c r="AI45" s="1"/>
  <c r="AF44"/>
  <c r="AI44" s="1"/>
  <c r="AF43"/>
  <c r="AI43" s="1"/>
  <c r="AF42"/>
  <c r="AI42" s="1"/>
  <c r="AF41"/>
  <c r="AI41" s="1"/>
  <c r="AF40"/>
  <c r="AI40" s="1"/>
  <c r="AF39"/>
  <c r="AI39" s="1"/>
  <c r="AI38"/>
  <c r="AF37"/>
  <c r="AI37" s="1"/>
  <c r="AF36"/>
  <c r="AI36" s="1"/>
  <c r="AF35"/>
  <c r="AI35" s="1"/>
  <c r="AF34"/>
  <c r="AI34" s="1"/>
  <c r="AF32"/>
  <c r="AI32" s="1"/>
  <c r="AF30"/>
  <c r="AI30" s="1"/>
  <c r="AF29"/>
  <c r="AI29" s="1"/>
  <c r="AF28"/>
  <c r="AI28" s="1"/>
  <c r="AF27"/>
  <c r="AI27" s="1"/>
  <c r="AF26"/>
  <c r="AI26" s="1"/>
  <c r="AF25"/>
  <c r="AI25" s="1"/>
  <c r="AF24"/>
  <c r="AI24" s="1"/>
  <c r="AF23"/>
  <c r="AI23" s="1"/>
  <c r="AF22"/>
  <c r="AI22" s="1"/>
  <c r="AF21"/>
  <c r="AI21" s="1"/>
  <c r="AF20"/>
  <c r="AI20" s="1"/>
  <c r="AF19"/>
  <c r="AF18"/>
  <c r="AI18" s="1"/>
  <c r="AF17"/>
  <c r="AI17" s="1"/>
  <c r="AF15"/>
  <c r="AF14"/>
  <c r="AI14" s="1"/>
  <c r="AF13"/>
  <c r="AF12"/>
  <c r="AI12" s="1"/>
  <c r="AF11"/>
  <c r="AI11" s="1"/>
  <c r="AF10"/>
  <c r="AF9"/>
  <c r="AI9" s="1"/>
  <c r="AF8"/>
  <c r="AF7"/>
  <c r="AI7" s="1"/>
  <c r="AF3"/>
  <c r="AF2"/>
  <c r="AI221"/>
  <c r="AF220"/>
  <c r="AJ222"/>
  <c r="AI222" s="1"/>
  <c r="AJ219"/>
  <c r="AF228"/>
  <c r="AF227"/>
  <c r="AF401"/>
  <c r="AI401" s="1"/>
  <c r="AI16"/>
  <c r="AH2"/>
  <c r="AJ403"/>
  <c r="AJ402"/>
  <c r="AJ333"/>
  <c r="AJ329"/>
  <c r="AJ328"/>
  <c r="AJ327"/>
  <c r="AJ321"/>
  <c r="AI321" s="1"/>
  <c r="AJ319"/>
  <c r="AJ318"/>
  <c r="AJ315"/>
  <c r="AJ314"/>
  <c r="AJ313"/>
  <c r="AJ238"/>
  <c r="AJ237"/>
  <c r="AJ234"/>
  <c r="AJ232"/>
  <c r="AJ231"/>
  <c r="AJ223"/>
  <c r="AJ217"/>
  <c r="AJ215"/>
  <c r="AJ204"/>
  <c r="AJ203"/>
  <c r="AJ143"/>
  <c r="AJ3"/>
  <c r="AI310" l="1"/>
  <c r="AI140"/>
  <c r="AI219"/>
  <c r="AI220"/>
  <c r="AI8"/>
  <c r="AI10"/>
  <c r="AI13"/>
  <c r="AI15"/>
  <c r="AI89"/>
  <c r="AI97"/>
  <c r="AI204"/>
  <c r="AI226"/>
  <c r="AI231"/>
  <c r="AI237"/>
  <c r="AI254"/>
  <c r="AI313"/>
  <c r="AI315"/>
  <c r="AI319"/>
  <c r="AI328"/>
  <c r="AI403"/>
  <c r="AI3"/>
  <c r="AI19"/>
  <c r="AI96"/>
  <c r="AI141"/>
  <c r="AI143"/>
  <c r="AI203"/>
  <c r="AI215"/>
  <c r="AI217"/>
  <c r="AI223"/>
  <c r="AI230"/>
  <c r="AI232"/>
  <c r="AI234"/>
  <c r="AI236"/>
  <c r="AI238"/>
  <c r="AI253"/>
  <c r="AI255"/>
  <c r="AI257"/>
  <c r="AI314"/>
  <c r="AI318"/>
  <c r="AI327"/>
  <c r="AI329"/>
  <c r="AI333"/>
  <c r="AI402"/>
  <c r="AI404"/>
  <c r="AV4"/>
  <c r="C4"/>
  <c r="B4"/>
  <c r="AV6"/>
  <c r="C6"/>
  <c r="B6"/>
  <c r="AV5"/>
  <c r="C5"/>
  <c r="B5"/>
  <c r="AV458"/>
  <c r="AM458"/>
  <c r="AE458"/>
  <c r="AC458"/>
  <c r="AB458"/>
  <c r="AA458"/>
  <c r="C458"/>
  <c r="B458"/>
  <c r="AV457"/>
  <c r="AM457"/>
  <c r="AE457"/>
  <c r="AC457"/>
  <c r="AB457"/>
  <c r="AA457"/>
  <c r="C457"/>
  <c r="B457"/>
  <c r="AV456"/>
  <c r="AM456"/>
  <c r="AE456"/>
  <c r="AC456"/>
  <c r="AB456"/>
  <c r="AA456"/>
  <c r="C456"/>
  <c r="B456"/>
  <c r="AV455"/>
  <c r="AM455"/>
  <c r="AE455"/>
  <c r="AC455"/>
  <c r="AB455"/>
  <c r="AA455"/>
  <c r="C455"/>
  <c r="B455"/>
  <c r="AV454"/>
  <c r="AM454"/>
  <c r="AE454"/>
  <c r="AC454"/>
  <c r="AB454"/>
  <c r="AA454"/>
  <c r="C454"/>
  <c r="B454"/>
  <c r="AV453"/>
  <c r="AM453"/>
  <c r="AE453"/>
  <c r="AC453"/>
  <c r="AB453"/>
  <c r="AA453"/>
  <c r="C453"/>
  <c r="B453"/>
  <c r="AV452"/>
  <c r="AM452"/>
  <c r="AE452"/>
  <c r="AC452"/>
  <c r="AB452"/>
  <c r="AA452"/>
  <c r="C452"/>
  <c r="B452"/>
  <c r="AV451"/>
  <c r="AM451"/>
  <c r="AE451"/>
  <c r="AC451"/>
  <c r="AB451"/>
  <c r="AA451"/>
  <c r="C451"/>
  <c r="B451"/>
  <c r="AM450"/>
  <c r="AM449"/>
  <c r="AM448"/>
  <c r="AM447"/>
  <c r="AM446"/>
  <c r="AV450"/>
  <c r="AE450"/>
  <c r="AC450"/>
  <c r="AB450"/>
  <c r="AA450"/>
  <c r="C450"/>
  <c r="B450"/>
  <c r="AV449"/>
  <c r="AE449"/>
  <c r="AC449"/>
  <c r="AB449"/>
  <c r="AA449"/>
  <c r="C449"/>
  <c r="B449"/>
  <c r="AE447"/>
  <c r="AC447"/>
  <c r="AB447"/>
  <c r="AA447"/>
  <c r="AE446"/>
  <c r="AC446"/>
  <c r="AB446"/>
  <c r="AA446"/>
  <c r="AE448"/>
  <c r="AC448"/>
  <c r="AB448"/>
  <c r="AA448"/>
  <c r="AV448"/>
  <c r="C448"/>
  <c r="B448"/>
  <c r="AV447"/>
  <c r="AV446"/>
  <c r="AV445"/>
  <c r="AV444"/>
  <c r="AV443"/>
  <c r="AV442"/>
  <c r="C447"/>
  <c r="B447"/>
  <c r="C446"/>
  <c r="B446"/>
  <c r="AD450" l="1"/>
  <c r="AD448"/>
  <c r="AD446"/>
  <c r="AD447"/>
  <c r="AD458"/>
  <c r="AD457"/>
  <c r="AD456"/>
  <c r="AD455"/>
  <c r="AD454"/>
  <c r="AD453"/>
  <c r="AD452"/>
  <c r="AD451"/>
  <c r="AD449"/>
  <c r="AL417"/>
  <c r="AL416"/>
  <c r="AL415"/>
  <c r="AL414"/>
  <c r="AL413"/>
  <c r="AL412"/>
  <c r="AL411"/>
  <c r="AL410"/>
  <c r="AL409"/>
  <c r="AL408"/>
  <c r="AL407"/>
  <c r="AL405"/>
  <c r="AL404"/>
  <c r="AL403"/>
  <c r="AL402"/>
  <c r="AL401"/>
  <c r="AL400"/>
  <c r="AL337"/>
  <c r="AL336"/>
  <c r="AL335"/>
  <c r="AL334"/>
  <c r="AL333"/>
  <c r="AL332"/>
  <c r="AL331"/>
  <c r="AL330"/>
  <c r="AL329"/>
  <c r="AL328"/>
  <c r="AL327"/>
  <c r="AL325"/>
  <c r="AL324"/>
  <c r="AL323"/>
  <c r="AL322"/>
  <c r="AL321"/>
  <c r="AL320"/>
  <c r="AL319"/>
  <c r="AL318"/>
  <c r="AL317"/>
  <c r="AL316"/>
  <c r="AL315"/>
  <c r="AL314"/>
  <c r="AL313"/>
  <c r="AL312"/>
  <c r="AL311"/>
  <c r="AL310"/>
  <c r="AL309"/>
  <c r="AL308"/>
  <c r="AL307"/>
  <c r="AL306"/>
  <c r="AL305"/>
  <c r="AL304"/>
  <c r="AL303"/>
  <c r="AL302"/>
  <c r="AL300"/>
  <c r="AL299"/>
  <c r="AL298"/>
  <c r="AL297"/>
  <c r="AL296"/>
  <c r="AL295"/>
  <c r="AL294"/>
  <c r="AL293"/>
  <c r="AL292"/>
  <c r="AL291"/>
  <c r="AL290"/>
  <c r="AL289"/>
  <c r="AL288"/>
  <c r="AL284"/>
  <c r="AL283"/>
  <c r="AL282"/>
  <c r="AL281"/>
  <c r="AL280"/>
  <c r="AL279"/>
  <c r="AL278"/>
  <c r="AL277"/>
  <c r="AL276"/>
  <c r="AL275"/>
  <c r="AL274"/>
  <c r="AL273"/>
  <c r="AL271"/>
  <c r="AL270"/>
  <c r="AL269"/>
  <c r="AL268"/>
  <c r="AL267"/>
  <c r="AL266"/>
  <c r="AL265"/>
  <c r="AL264"/>
  <c r="AL263"/>
  <c r="AL262"/>
  <c r="AL261"/>
  <c r="AL260"/>
  <c r="AL259"/>
  <c r="AL258"/>
  <c r="AL257"/>
  <c r="AL256"/>
  <c r="AL255"/>
  <c r="AL254"/>
  <c r="AL253"/>
  <c r="AL252"/>
  <c r="AL251"/>
  <c r="AL250"/>
  <c r="AL249"/>
  <c r="AL248"/>
  <c r="AL247"/>
  <c r="AL246"/>
  <c r="AL245"/>
  <c r="AL244"/>
  <c r="AL243"/>
  <c r="AL242"/>
  <c r="AL241"/>
  <c r="AL240"/>
  <c r="AL239"/>
  <c r="AL238"/>
  <c r="AL237"/>
  <c r="AL236"/>
  <c r="AL235"/>
  <c r="AL234"/>
  <c r="AL233"/>
  <c r="AL232"/>
  <c r="AL231"/>
  <c r="AL230"/>
  <c r="AL229"/>
  <c r="AL228"/>
  <c r="AL227"/>
  <c r="AL226"/>
  <c r="AL225"/>
  <c r="AL224"/>
  <c r="AL223"/>
  <c r="AL222"/>
  <c r="AL221"/>
  <c r="AL220"/>
  <c r="AL219"/>
  <c r="AL218"/>
  <c r="AL217"/>
  <c r="AL216"/>
  <c r="AL215"/>
  <c r="AL214"/>
  <c r="AL213"/>
  <c r="AL212"/>
  <c r="AL211"/>
  <c r="AL210"/>
  <c r="AL209"/>
  <c r="AL208"/>
  <c r="AL205"/>
  <c r="AL203"/>
  <c r="AL202"/>
  <c r="AL201"/>
  <c r="AL200"/>
  <c r="AL192"/>
  <c r="AL191"/>
  <c r="AL190"/>
  <c r="AL189"/>
  <c r="AL188"/>
  <c r="AL187"/>
  <c r="AL186"/>
  <c r="AL185"/>
  <c r="AL184"/>
  <c r="AL183"/>
  <c r="AL182"/>
  <c r="AL181"/>
  <c r="AL180"/>
  <c r="AL179"/>
  <c r="AL178"/>
  <c r="AL177"/>
  <c r="AL176"/>
  <c r="AL175"/>
  <c r="AL174"/>
  <c r="AL173"/>
  <c r="AL172"/>
  <c r="AL171"/>
  <c r="AL170"/>
  <c r="AL169"/>
  <c r="AL167"/>
  <c r="AL166"/>
  <c r="AL165"/>
  <c r="AL164"/>
  <c r="AL163"/>
  <c r="AL162"/>
  <c r="AL160"/>
  <c r="AL159"/>
  <c r="AL158"/>
  <c r="AL157"/>
  <c r="AL156"/>
  <c r="AL155"/>
  <c r="AL153"/>
  <c r="AL152"/>
  <c r="AL151"/>
  <c r="AL150"/>
  <c r="AL149"/>
  <c r="AL148"/>
  <c r="AL147"/>
  <c r="AL145"/>
  <c r="AL144"/>
  <c r="AL143"/>
  <c r="AL120"/>
  <c r="AL119"/>
  <c r="AL118"/>
  <c r="AL117"/>
  <c r="AL116"/>
  <c r="AL115"/>
  <c r="AL113"/>
  <c r="AL112"/>
  <c r="AL111"/>
  <c r="AL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65"/>
  <c r="AL62"/>
  <c r="AL61"/>
  <c r="AL60"/>
  <c r="AL59"/>
  <c r="AL58"/>
  <c r="AL57"/>
  <c r="AL56"/>
  <c r="AL55"/>
  <c r="AL54"/>
  <c r="AL53"/>
  <c r="AL52"/>
  <c r="AL51"/>
  <c r="AL50"/>
  <c r="AL49"/>
  <c r="AL48"/>
  <c r="AL47"/>
  <c r="AL46"/>
  <c r="AL45"/>
  <c r="AL44"/>
  <c r="AL40"/>
  <c r="AL9"/>
  <c r="AL8"/>
  <c r="AL7"/>
  <c r="AA45"/>
  <c r="AD45" s="1"/>
  <c r="AM445"/>
  <c r="AE445"/>
  <c r="AC445"/>
  <c r="AB445"/>
  <c r="AA445"/>
  <c r="C445"/>
  <c r="B445"/>
  <c r="AD445" l="1"/>
  <c r="C443"/>
  <c r="B443"/>
  <c r="C442"/>
  <c r="B442"/>
  <c r="AM444"/>
  <c r="AE444"/>
  <c r="AC444"/>
  <c r="AB444"/>
  <c r="AA444"/>
  <c r="C444"/>
  <c r="B444"/>
  <c r="AM443"/>
  <c r="AE443"/>
  <c r="AC443"/>
  <c r="AB443"/>
  <c r="AA443"/>
  <c r="AM442"/>
  <c r="AE442"/>
  <c r="AC442"/>
  <c r="AB442"/>
  <c r="AA442"/>
  <c r="AV434"/>
  <c r="AM434"/>
  <c r="AE434"/>
  <c r="AC434"/>
  <c r="AB434"/>
  <c r="AA434"/>
  <c r="C434"/>
  <c r="B434"/>
  <c r="AV432"/>
  <c r="AM432"/>
  <c r="AE432"/>
  <c r="AC432"/>
  <c r="AB432"/>
  <c r="AA432"/>
  <c r="C432"/>
  <c r="B432"/>
  <c r="AV424"/>
  <c r="AM424"/>
  <c r="AE424"/>
  <c r="AC424"/>
  <c r="AB424"/>
  <c r="AA424"/>
  <c r="C424"/>
  <c r="B424"/>
  <c r="AV426"/>
  <c r="AM426"/>
  <c r="AE426"/>
  <c r="AC426"/>
  <c r="AB426"/>
  <c r="AA426"/>
  <c r="C426"/>
  <c r="B426"/>
  <c r="AV428"/>
  <c r="AM428"/>
  <c r="AE428"/>
  <c r="AC428"/>
  <c r="AB428"/>
  <c r="AA428"/>
  <c r="C428"/>
  <c r="B428"/>
  <c r="AV430"/>
  <c r="AM430"/>
  <c r="AE430"/>
  <c r="AC430"/>
  <c r="AB430"/>
  <c r="AA430"/>
  <c r="C430"/>
  <c r="B430"/>
  <c r="AV203"/>
  <c r="AM203"/>
  <c r="AE203"/>
  <c r="AC203"/>
  <c r="AB203"/>
  <c r="AA203"/>
  <c r="C203"/>
  <c r="B203"/>
  <c r="AV441"/>
  <c r="AM441"/>
  <c r="AE441"/>
  <c r="AC441"/>
  <c r="AB441"/>
  <c r="AA441"/>
  <c r="C441"/>
  <c r="B441"/>
  <c r="AV438"/>
  <c r="AM438"/>
  <c r="AE438"/>
  <c r="AC438"/>
  <c r="AB438"/>
  <c r="AA438"/>
  <c r="C438"/>
  <c r="B438"/>
  <c r="AV440"/>
  <c r="AM440"/>
  <c r="AE440"/>
  <c r="AC440"/>
  <c r="AB440"/>
  <c r="AA440"/>
  <c r="C440"/>
  <c r="B440"/>
  <c r="AV437"/>
  <c r="AM437"/>
  <c r="AE437"/>
  <c r="AC437"/>
  <c r="AB437"/>
  <c r="AA437"/>
  <c r="C437"/>
  <c r="B437"/>
  <c r="AV439"/>
  <c r="AM439"/>
  <c r="AE439"/>
  <c r="AC439"/>
  <c r="AB439"/>
  <c r="AA439"/>
  <c r="C439"/>
  <c r="B439"/>
  <c r="AV433"/>
  <c r="AM433"/>
  <c r="AE433"/>
  <c r="AC433"/>
  <c r="AB433"/>
  <c r="AA433"/>
  <c r="C433"/>
  <c r="B433"/>
  <c r="AV431"/>
  <c r="AM431"/>
  <c r="AE431"/>
  <c r="AC431"/>
  <c r="AB431"/>
  <c r="AA431"/>
  <c r="C431"/>
  <c r="B431"/>
  <c r="AV436"/>
  <c r="AM436"/>
  <c r="AE436"/>
  <c r="AC436"/>
  <c r="AB436"/>
  <c r="AA436"/>
  <c r="C436"/>
  <c r="B436"/>
  <c r="B2"/>
  <c r="C2"/>
  <c r="AA2"/>
  <c r="AB2"/>
  <c r="AC2"/>
  <c r="AE2"/>
  <c r="AJ2"/>
  <c r="AV2"/>
  <c r="B3"/>
  <c r="C3"/>
  <c r="AA3"/>
  <c r="AB3"/>
  <c r="AC3"/>
  <c r="AE3"/>
  <c r="AM3"/>
  <c r="AV3"/>
  <c r="B7"/>
  <c r="C7"/>
  <c r="AA7"/>
  <c r="AB7"/>
  <c r="AC7"/>
  <c r="AE7"/>
  <c r="AM7"/>
  <c r="AV7"/>
  <c r="B8"/>
  <c r="C8"/>
  <c r="AA8"/>
  <c r="AB8"/>
  <c r="AC8"/>
  <c r="AE8"/>
  <c r="AM8"/>
  <c r="AV8"/>
  <c r="B9"/>
  <c r="C9"/>
  <c r="AA9"/>
  <c r="AB9"/>
  <c r="AC9"/>
  <c r="AE9"/>
  <c r="AM9"/>
  <c r="AV9"/>
  <c r="B10"/>
  <c r="C10"/>
  <c r="AA10"/>
  <c r="AB10"/>
  <c r="AC10"/>
  <c r="AE10"/>
  <c r="AM10"/>
  <c r="AV10"/>
  <c r="B11"/>
  <c r="C11"/>
  <c r="AA11"/>
  <c r="AB11"/>
  <c r="AC11"/>
  <c r="AE11"/>
  <c r="AM11"/>
  <c r="AV11"/>
  <c r="B12"/>
  <c r="C12"/>
  <c r="AA12"/>
  <c r="AB12"/>
  <c r="AC12"/>
  <c r="AE12"/>
  <c r="AM12"/>
  <c r="AV12"/>
  <c r="B13"/>
  <c r="C13"/>
  <c r="AA13"/>
  <c r="AB13"/>
  <c r="AC13"/>
  <c r="AE13"/>
  <c r="AM13"/>
  <c r="AV13"/>
  <c r="B14"/>
  <c r="C14"/>
  <c r="AA14"/>
  <c r="AB14"/>
  <c r="AC14"/>
  <c r="AE14"/>
  <c r="AM14"/>
  <c r="AV14"/>
  <c r="B15"/>
  <c r="C15"/>
  <c r="AA15"/>
  <c r="AB15"/>
  <c r="AC15"/>
  <c r="AE15"/>
  <c r="AM15"/>
  <c r="AV15"/>
  <c r="B16"/>
  <c r="C16"/>
  <c r="AA16"/>
  <c r="AB16"/>
  <c r="AC16"/>
  <c r="AE16"/>
  <c r="AM16"/>
  <c r="AV16"/>
  <c r="B17"/>
  <c r="C17"/>
  <c r="AA17"/>
  <c r="AB17"/>
  <c r="AC17"/>
  <c r="AE17"/>
  <c r="AM17"/>
  <c r="AV17"/>
  <c r="B18"/>
  <c r="C18"/>
  <c r="AA18"/>
  <c r="AB18"/>
  <c r="AC18"/>
  <c r="AE18"/>
  <c r="AM18"/>
  <c r="AV18"/>
  <c r="B19"/>
  <c r="C19"/>
  <c r="AA19"/>
  <c r="AB19"/>
  <c r="AC19"/>
  <c r="AE19"/>
  <c r="AM19"/>
  <c r="AV19"/>
  <c r="B20"/>
  <c r="C20"/>
  <c r="AA20"/>
  <c r="AB20"/>
  <c r="AC20"/>
  <c r="AE20"/>
  <c r="AM20"/>
  <c r="AV20"/>
  <c r="B21"/>
  <c r="C21"/>
  <c r="AA21"/>
  <c r="AB21"/>
  <c r="AC21"/>
  <c r="AE21"/>
  <c r="AM21"/>
  <c r="AV21"/>
  <c r="B22"/>
  <c r="C22"/>
  <c r="AA22"/>
  <c r="AB22"/>
  <c r="AC22"/>
  <c r="AE22"/>
  <c r="AM22"/>
  <c r="AV22"/>
  <c r="B23"/>
  <c r="C23"/>
  <c r="AA23"/>
  <c r="AB23"/>
  <c r="AC23"/>
  <c r="AE23"/>
  <c r="AM23"/>
  <c r="AV23"/>
  <c r="B24"/>
  <c r="C24"/>
  <c r="AA24"/>
  <c r="AB24"/>
  <c r="AC24"/>
  <c r="AE24"/>
  <c r="AM24"/>
  <c r="AV24"/>
  <c r="B25"/>
  <c r="C25"/>
  <c r="AA25"/>
  <c r="AB25"/>
  <c r="AC25"/>
  <c r="AE25"/>
  <c r="AM25"/>
  <c r="AV25"/>
  <c r="B26"/>
  <c r="C26"/>
  <c r="AA26"/>
  <c r="AB26"/>
  <c r="AC26"/>
  <c r="AE26"/>
  <c r="AM26"/>
  <c r="AV26"/>
  <c r="B27"/>
  <c r="C27"/>
  <c r="AA27"/>
  <c r="AB27"/>
  <c r="AC27"/>
  <c r="AE27"/>
  <c r="AM27"/>
  <c r="AV27"/>
  <c r="B28"/>
  <c r="C28"/>
  <c r="AA28"/>
  <c r="AB28"/>
  <c r="AC28"/>
  <c r="AE28"/>
  <c r="AM28"/>
  <c r="AV28"/>
  <c r="B29"/>
  <c r="C29"/>
  <c r="AA29"/>
  <c r="AB29"/>
  <c r="AC29"/>
  <c r="AE29"/>
  <c r="AM29"/>
  <c r="AV29"/>
  <c r="B30"/>
  <c r="C30"/>
  <c r="AA30"/>
  <c r="AB30"/>
  <c r="AC30"/>
  <c r="AE30"/>
  <c r="AM30"/>
  <c r="AV30"/>
  <c r="B31"/>
  <c r="C31"/>
  <c r="AA31"/>
  <c r="AB31"/>
  <c r="AC31"/>
  <c r="AE31"/>
  <c r="AM31"/>
  <c r="AV31"/>
  <c r="B32"/>
  <c r="C32"/>
  <c r="AA32"/>
  <c r="AB32"/>
  <c r="AC32"/>
  <c r="AE32"/>
  <c r="AM32"/>
  <c r="AV32"/>
  <c r="B33"/>
  <c r="C33"/>
  <c r="AA33"/>
  <c r="AB33"/>
  <c r="AC33"/>
  <c r="AE33"/>
  <c r="AM33"/>
  <c r="AV33"/>
  <c r="B34"/>
  <c r="C34"/>
  <c r="AA34"/>
  <c r="AB34"/>
  <c r="AC34"/>
  <c r="AE34"/>
  <c r="AM34"/>
  <c r="AV34"/>
  <c r="B35"/>
  <c r="C35"/>
  <c r="AA35"/>
  <c r="AB35"/>
  <c r="AC35"/>
  <c r="AE35"/>
  <c r="AM35"/>
  <c r="AV35"/>
  <c r="B36"/>
  <c r="C36"/>
  <c r="AA36"/>
  <c r="AB36"/>
  <c r="AC36"/>
  <c r="AE36"/>
  <c r="AM36"/>
  <c r="AV36"/>
  <c r="B37"/>
  <c r="C37"/>
  <c r="AA37"/>
  <c r="AB37"/>
  <c r="AC37"/>
  <c r="AE37"/>
  <c r="AM37"/>
  <c r="AV37"/>
  <c r="B38"/>
  <c r="C38"/>
  <c r="AA38"/>
  <c r="AB38"/>
  <c r="AC38"/>
  <c r="AE38"/>
  <c r="AM38"/>
  <c r="AV38"/>
  <c r="B39"/>
  <c r="C39"/>
  <c r="AA39"/>
  <c r="AB39"/>
  <c r="AC39"/>
  <c r="AE39"/>
  <c r="AM39"/>
  <c r="AV39"/>
  <c r="B40"/>
  <c r="C40"/>
  <c r="AA40"/>
  <c r="AB40"/>
  <c r="AC40"/>
  <c r="AE40"/>
  <c r="AM40"/>
  <c r="AV40"/>
  <c r="B41"/>
  <c r="C41"/>
  <c r="AA41"/>
  <c r="AB41"/>
  <c r="AC41"/>
  <c r="AE41"/>
  <c r="AM41"/>
  <c r="AV41"/>
  <c r="B42"/>
  <c r="C42"/>
  <c r="AA42"/>
  <c r="AB42"/>
  <c r="AC42"/>
  <c r="AE42"/>
  <c r="AM42"/>
  <c r="AV42"/>
  <c r="B43"/>
  <c r="C43"/>
  <c r="AA43"/>
  <c r="AB43"/>
  <c r="AC43"/>
  <c r="AE43"/>
  <c r="AM43"/>
  <c r="AV43"/>
  <c r="B44"/>
  <c r="C44"/>
  <c r="AA44"/>
  <c r="AB44"/>
  <c r="AC44"/>
  <c r="AE44"/>
  <c r="AM44"/>
  <c r="AV44"/>
  <c r="B45"/>
  <c r="C45"/>
  <c r="AM45"/>
  <c r="AV45"/>
  <c r="B46"/>
  <c r="C46"/>
  <c r="AA46"/>
  <c r="AB46"/>
  <c r="AC46"/>
  <c r="AE46"/>
  <c r="AM46"/>
  <c r="AV46"/>
  <c r="B47"/>
  <c r="C47"/>
  <c r="AA47"/>
  <c r="AB47"/>
  <c r="AC47"/>
  <c r="AE47"/>
  <c r="AM47"/>
  <c r="AV47"/>
  <c r="B48"/>
  <c r="C48"/>
  <c r="AA48"/>
  <c r="AB48"/>
  <c r="AC48"/>
  <c r="AE48"/>
  <c r="AM48"/>
  <c r="AV48"/>
  <c r="B49"/>
  <c r="C49"/>
  <c r="AA49"/>
  <c r="AB49"/>
  <c r="AC49"/>
  <c r="AE49"/>
  <c r="AM49"/>
  <c r="AV49"/>
  <c r="B50"/>
  <c r="C50"/>
  <c r="AA50"/>
  <c r="AB50"/>
  <c r="AC50"/>
  <c r="AE50"/>
  <c r="AM50"/>
  <c r="AV50"/>
  <c r="B51"/>
  <c r="C51"/>
  <c r="AA51"/>
  <c r="AB51"/>
  <c r="AC51"/>
  <c r="AE51"/>
  <c r="AM51"/>
  <c r="AV51"/>
  <c r="B52"/>
  <c r="C52"/>
  <c r="AA52"/>
  <c r="AB52"/>
  <c r="AC52"/>
  <c r="AE52"/>
  <c r="AM52"/>
  <c r="AV52"/>
  <c r="B53"/>
  <c r="C53"/>
  <c r="AA53"/>
  <c r="AB53"/>
  <c r="AC53"/>
  <c r="AE53"/>
  <c r="AM53"/>
  <c r="AV53"/>
  <c r="B54"/>
  <c r="C54"/>
  <c r="AA54"/>
  <c r="AB54"/>
  <c r="AC54"/>
  <c r="AE54"/>
  <c r="AM54"/>
  <c r="AV54"/>
  <c r="B55"/>
  <c r="C55"/>
  <c r="AA55"/>
  <c r="AB55"/>
  <c r="AC55"/>
  <c r="AE55"/>
  <c r="AM55"/>
  <c r="AV55"/>
  <c r="B56"/>
  <c r="C56"/>
  <c r="AA56"/>
  <c r="AB56"/>
  <c r="AC56"/>
  <c r="AE56"/>
  <c r="AM56"/>
  <c r="AV56"/>
  <c r="B57"/>
  <c r="C57"/>
  <c r="AA57"/>
  <c r="AB57"/>
  <c r="AC57"/>
  <c r="AE57"/>
  <c r="AM57"/>
  <c r="AV57"/>
  <c r="B58"/>
  <c r="C58"/>
  <c r="AA58"/>
  <c r="AB58"/>
  <c r="AC58"/>
  <c r="AE58"/>
  <c r="AM58"/>
  <c r="AV58"/>
  <c r="B59"/>
  <c r="C59"/>
  <c r="AA59"/>
  <c r="AB59"/>
  <c r="AC59"/>
  <c r="AE59"/>
  <c r="AM59"/>
  <c r="AV59"/>
  <c r="B60"/>
  <c r="C60"/>
  <c r="AA60"/>
  <c r="AB60"/>
  <c r="AC60"/>
  <c r="AE60"/>
  <c r="AM60"/>
  <c r="AV60"/>
  <c r="B61"/>
  <c r="C61"/>
  <c r="AA61"/>
  <c r="AB61"/>
  <c r="AC61"/>
  <c r="AE61"/>
  <c r="AM61"/>
  <c r="AV61"/>
  <c r="B62"/>
  <c r="C62"/>
  <c r="AA62"/>
  <c r="AB62"/>
  <c r="AC62"/>
  <c r="AE62"/>
  <c r="AM62"/>
  <c r="AV62"/>
  <c r="B63"/>
  <c r="C63"/>
  <c r="AA63"/>
  <c r="AB63"/>
  <c r="AC63"/>
  <c r="AE63"/>
  <c r="AM63"/>
  <c r="AV63"/>
  <c r="B64"/>
  <c r="C64"/>
  <c r="AA64"/>
  <c r="AB64"/>
  <c r="AC64"/>
  <c r="AE64"/>
  <c r="AM64"/>
  <c r="AV64"/>
  <c r="B65"/>
  <c r="C65"/>
  <c r="AA65"/>
  <c r="AB65"/>
  <c r="AC65"/>
  <c r="AE65"/>
  <c r="AM65"/>
  <c r="AV65"/>
  <c r="B66"/>
  <c r="C66"/>
  <c r="AA66"/>
  <c r="AB66"/>
  <c r="AC66"/>
  <c r="AE66"/>
  <c r="AM66"/>
  <c r="AV66"/>
  <c r="B67"/>
  <c r="C67"/>
  <c r="AA67"/>
  <c r="AB67"/>
  <c r="AC67"/>
  <c r="AE67"/>
  <c r="AM67"/>
  <c r="AV67"/>
  <c r="B68"/>
  <c r="C68"/>
  <c r="AA68"/>
  <c r="AB68"/>
  <c r="AC68"/>
  <c r="AE68"/>
  <c r="AM68"/>
  <c r="AV68"/>
  <c r="B69"/>
  <c r="C69"/>
  <c r="AA69"/>
  <c r="AB69"/>
  <c r="AC69"/>
  <c r="AE69"/>
  <c r="AM69"/>
  <c r="AV69"/>
  <c r="B70"/>
  <c r="C70"/>
  <c r="AA70"/>
  <c r="AB70"/>
  <c r="AC70"/>
  <c r="AE70"/>
  <c r="AM70"/>
  <c r="AV70"/>
  <c r="B71"/>
  <c r="C71"/>
  <c r="AA71"/>
  <c r="AB71"/>
  <c r="AC71"/>
  <c r="AE71"/>
  <c r="AM71"/>
  <c r="AV71"/>
  <c r="B72"/>
  <c r="C72"/>
  <c r="AA72"/>
  <c r="AB72"/>
  <c r="AC72"/>
  <c r="AE72"/>
  <c r="AM72"/>
  <c r="AV72"/>
  <c r="B73"/>
  <c r="C73"/>
  <c r="AA73"/>
  <c r="AB73"/>
  <c r="AC73"/>
  <c r="AE73"/>
  <c r="AM73"/>
  <c r="AV73"/>
  <c r="B74"/>
  <c r="C74"/>
  <c r="AA74"/>
  <c r="AB74"/>
  <c r="AC74"/>
  <c r="AE74"/>
  <c r="AM74"/>
  <c r="AV74"/>
  <c r="B75"/>
  <c r="C75"/>
  <c r="AA75"/>
  <c r="AB75"/>
  <c r="AC75"/>
  <c r="AE75"/>
  <c r="AM75"/>
  <c r="AV75"/>
  <c r="B76"/>
  <c r="C76"/>
  <c r="AA76"/>
  <c r="AB76"/>
  <c r="AC76"/>
  <c r="AE76"/>
  <c r="AM76"/>
  <c r="AV76"/>
  <c r="B77"/>
  <c r="C77"/>
  <c r="AA77"/>
  <c r="AB77"/>
  <c r="AC77"/>
  <c r="AE77"/>
  <c r="AM77"/>
  <c r="AV77"/>
  <c r="B78"/>
  <c r="C78"/>
  <c r="AA78"/>
  <c r="AB78"/>
  <c r="AC78"/>
  <c r="AE78"/>
  <c r="AM78"/>
  <c r="AV78"/>
  <c r="B79"/>
  <c r="C79"/>
  <c r="AA79"/>
  <c r="AB79"/>
  <c r="AC79"/>
  <c r="AE79"/>
  <c r="AM79"/>
  <c r="AV79"/>
  <c r="B80"/>
  <c r="C80"/>
  <c r="AA80"/>
  <c r="AB80"/>
  <c r="AC80"/>
  <c r="AE80"/>
  <c r="AM80"/>
  <c r="AV80"/>
  <c r="B81"/>
  <c r="C81"/>
  <c r="AA81"/>
  <c r="AB81"/>
  <c r="AC81"/>
  <c r="AE81"/>
  <c r="AM81"/>
  <c r="AV81"/>
  <c r="B82"/>
  <c r="C82"/>
  <c r="AA82"/>
  <c r="AB82"/>
  <c r="AC82"/>
  <c r="AE82"/>
  <c r="AM82"/>
  <c r="AV82"/>
  <c r="B83"/>
  <c r="C83"/>
  <c r="AA83"/>
  <c r="AB83"/>
  <c r="AC83"/>
  <c r="AE83"/>
  <c r="AM83"/>
  <c r="AV83"/>
  <c r="B84"/>
  <c r="C84"/>
  <c r="AA84"/>
  <c r="AB84"/>
  <c r="AC84"/>
  <c r="AE84"/>
  <c r="AM84"/>
  <c r="AV84"/>
  <c r="B85"/>
  <c r="C85"/>
  <c r="AA85"/>
  <c r="AB85"/>
  <c r="AC85"/>
  <c r="AE85"/>
  <c r="AM85"/>
  <c r="AV85"/>
  <c r="B86"/>
  <c r="C86"/>
  <c r="AA86"/>
  <c r="AB86"/>
  <c r="AC86"/>
  <c r="AE86"/>
  <c r="AM86"/>
  <c r="AV86"/>
  <c r="B87"/>
  <c r="C87"/>
  <c r="AA87"/>
  <c r="AB87"/>
  <c r="AC87"/>
  <c r="AE87"/>
  <c r="AM87"/>
  <c r="AV87"/>
  <c r="B88"/>
  <c r="C88"/>
  <c r="AA88"/>
  <c r="AB88"/>
  <c r="AC88"/>
  <c r="AE88"/>
  <c r="AM88"/>
  <c r="AV88"/>
  <c r="B89"/>
  <c r="C89"/>
  <c r="AA89"/>
  <c r="AB89"/>
  <c r="AC89"/>
  <c r="AE89"/>
  <c r="AM89"/>
  <c r="AV89"/>
  <c r="B90"/>
  <c r="C90"/>
  <c r="AA90"/>
  <c r="AB90"/>
  <c r="AC90"/>
  <c r="AE90"/>
  <c r="AM90"/>
  <c r="AV90"/>
  <c r="B91"/>
  <c r="C91"/>
  <c r="AA91"/>
  <c r="AB91"/>
  <c r="AC91"/>
  <c r="AE91"/>
  <c r="AM91"/>
  <c r="AV91"/>
  <c r="B92"/>
  <c r="C92"/>
  <c r="AA92"/>
  <c r="AB92"/>
  <c r="AC92"/>
  <c r="AE92"/>
  <c r="AM92"/>
  <c r="AV92"/>
  <c r="B93"/>
  <c r="C93"/>
  <c r="AA93"/>
  <c r="AB93"/>
  <c r="AC93"/>
  <c r="AE93"/>
  <c r="AM93"/>
  <c r="AV93"/>
  <c r="B94"/>
  <c r="C94"/>
  <c r="AA94"/>
  <c r="AB94"/>
  <c r="AC94"/>
  <c r="AE94"/>
  <c r="AM94"/>
  <c r="AV94"/>
  <c r="B95"/>
  <c r="C95"/>
  <c r="AA95"/>
  <c r="AB95"/>
  <c r="AC95"/>
  <c r="AE95"/>
  <c r="AM95"/>
  <c r="AV95"/>
  <c r="B96"/>
  <c r="C96"/>
  <c r="AA96"/>
  <c r="AB96"/>
  <c r="AC96"/>
  <c r="AE96"/>
  <c r="AM96"/>
  <c r="AV96"/>
  <c r="B97"/>
  <c r="C97"/>
  <c r="AA97"/>
  <c r="AB97"/>
  <c r="AC97"/>
  <c r="AE97"/>
  <c r="AM97"/>
  <c r="AV97"/>
  <c r="B98"/>
  <c r="C98"/>
  <c r="AA98"/>
  <c r="AB98"/>
  <c r="AC98"/>
  <c r="AE98"/>
  <c r="AM98"/>
  <c r="AV98"/>
  <c r="B99"/>
  <c r="C99"/>
  <c r="AA99"/>
  <c r="AB99"/>
  <c r="AC99"/>
  <c r="AE99"/>
  <c r="AM99"/>
  <c r="AV99"/>
  <c r="B100"/>
  <c r="C100"/>
  <c r="AA100"/>
  <c r="AB100"/>
  <c r="AC100"/>
  <c r="AE100"/>
  <c r="AM100"/>
  <c r="AV100"/>
  <c r="B101"/>
  <c r="C101"/>
  <c r="AA101"/>
  <c r="AB101"/>
  <c r="AC101"/>
  <c r="AE101"/>
  <c r="AM101"/>
  <c r="AV101"/>
  <c r="B102"/>
  <c r="C102"/>
  <c r="AA102"/>
  <c r="AB102"/>
  <c r="AC102"/>
  <c r="AE102"/>
  <c r="AM102"/>
  <c r="AV102"/>
  <c r="B103"/>
  <c r="C103"/>
  <c r="AA103"/>
  <c r="AB103"/>
  <c r="AC103"/>
  <c r="AE103"/>
  <c r="AM103"/>
  <c r="AV103"/>
  <c r="B104"/>
  <c r="C104"/>
  <c r="AA104"/>
  <c r="AB104"/>
  <c r="AC104"/>
  <c r="AE104"/>
  <c r="AM104"/>
  <c r="AV104"/>
  <c r="B105"/>
  <c r="C105"/>
  <c r="AA105"/>
  <c r="AB105"/>
  <c r="AC105"/>
  <c r="AE105"/>
  <c r="AM105"/>
  <c r="AV105"/>
  <c r="B106"/>
  <c r="C106"/>
  <c r="AA106"/>
  <c r="AB106"/>
  <c r="AC106"/>
  <c r="AE106"/>
  <c r="AM106"/>
  <c r="AV106"/>
  <c r="B107"/>
  <c r="C107"/>
  <c r="AA107"/>
  <c r="AB107"/>
  <c r="AC107"/>
  <c r="AE107"/>
  <c r="AM107"/>
  <c r="AV107"/>
  <c r="B108"/>
  <c r="C108"/>
  <c r="AA108"/>
  <c r="AB108"/>
  <c r="AC108"/>
  <c r="AE108"/>
  <c r="AM108"/>
  <c r="AV108"/>
  <c r="B109"/>
  <c r="C109"/>
  <c r="AA109"/>
  <c r="AB109"/>
  <c r="AC109"/>
  <c r="AE109"/>
  <c r="AM109"/>
  <c r="AV109"/>
  <c r="B110"/>
  <c r="C110"/>
  <c r="AA110"/>
  <c r="AB110"/>
  <c r="AC110"/>
  <c r="AE110"/>
  <c r="AM110"/>
  <c r="AV110"/>
  <c r="B111"/>
  <c r="C111"/>
  <c r="AA111"/>
  <c r="AB111"/>
  <c r="AC111"/>
  <c r="AE111"/>
  <c r="AM111"/>
  <c r="AV111"/>
  <c r="B112"/>
  <c r="C112"/>
  <c r="AA112"/>
  <c r="AB112"/>
  <c r="AC112"/>
  <c r="AE112"/>
  <c r="AM112"/>
  <c r="AV112"/>
  <c r="B113"/>
  <c r="C113"/>
  <c r="AA113"/>
  <c r="AB113"/>
  <c r="AC113"/>
  <c r="AE113"/>
  <c r="AM113"/>
  <c r="AV113"/>
  <c r="B114"/>
  <c r="C114"/>
  <c r="AA114"/>
  <c r="AB114"/>
  <c r="AC114"/>
  <c r="AE114"/>
  <c r="AM114"/>
  <c r="AV114"/>
  <c r="B115"/>
  <c r="C115"/>
  <c r="AA115"/>
  <c r="AB115"/>
  <c r="AC115"/>
  <c r="AE115"/>
  <c r="AM115"/>
  <c r="AV115"/>
  <c r="B116"/>
  <c r="C116"/>
  <c r="AA116"/>
  <c r="AB116"/>
  <c r="AC116"/>
  <c r="AE116"/>
  <c r="AM116"/>
  <c r="AV116"/>
  <c r="B117"/>
  <c r="C117"/>
  <c r="AA117"/>
  <c r="AB117"/>
  <c r="AC117"/>
  <c r="AE117"/>
  <c r="AM117"/>
  <c r="AV117"/>
  <c r="B118"/>
  <c r="C118"/>
  <c r="AA118"/>
  <c r="AB118"/>
  <c r="AC118"/>
  <c r="AE118"/>
  <c r="AM118"/>
  <c r="AV118"/>
  <c r="B119"/>
  <c r="C119"/>
  <c r="AA119"/>
  <c r="AB119"/>
  <c r="AC119"/>
  <c r="AE119"/>
  <c r="AM119"/>
  <c r="AV119"/>
  <c r="B120"/>
  <c r="C120"/>
  <c r="AA120"/>
  <c r="AB120"/>
  <c r="AC120"/>
  <c r="AE120"/>
  <c r="AM120"/>
  <c r="AV120"/>
  <c r="B121"/>
  <c r="C121"/>
  <c r="AA121"/>
  <c r="AB121"/>
  <c r="AC121"/>
  <c r="AE121"/>
  <c r="AM121"/>
  <c r="AV121"/>
  <c r="B122"/>
  <c r="C122"/>
  <c r="AA122"/>
  <c r="AB122"/>
  <c r="AC122"/>
  <c r="AE122"/>
  <c r="AM122"/>
  <c r="AV122"/>
  <c r="B123"/>
  <c r="C123"/>
  <c r="AA123"/>
  <c r="AB123"/>
  <c r="AC123"/>
  <c r="AE123"/>
  <c r="AM123"/>
  <c r="AV123"/>
  <c r="B124"/>
  <c r="C124"/>
  <c r="AA124"/>
  <c r="AB124"/>
  <c r="AC124"/>
  <c r="AE124"/>
  <c r="AM124"/>
  <c r="AV124"/>
  <c r="B125"/>
  <c r="C125"/>
  <c r="AA125"/>
  <c r="AB125"/>
  <c r="AC125"/>
  <c r="AE125"/>
  <c r="AM125"/>
  <c r="AV125"/>
  <c r="B126"/>
  <c r="C126"/>
  <c r="AA126"/>
  <c r="AB126"/>
  <c r="AC126"/>
  <c r="AE126"/>
  <c r="AM126"/>
  <c r="AV126"/>
  <c r="B127"/>
  <c r="C127"/>
  <c r="AA127"/>
  <c r="AB127"/>
  <c r="AC127"/>
  <c r="AE127"/>
  <c r="AM127"/>
  <c r="AV127"/>
  <c r="B128"/>
  <c r="C128"/>
  <c r="AA128"/>
  <c r="AB128"/>
  <c r="AC128"/>
  <c r="AE128"/>
  <c r="AM128"/>
  <c r="AV128"/>
  <c r="B129"/>
  <c r="C129"/>
  <c r="AA129"/>
  <c r="AB129"/>
  <c r="AC129"/>
  <c r="AE129"/>
  <c r="AM129"/>
  <c r="AV129"/>
  <c r="B130"/>
  <c r="C130"/>
  <c r="AA130"/>
  <c r="AB130"/>
  <c r="AC130"/>
  <c r="AE130"/>
  <c r="AM130"/>
  <c r="AV130"/>
  <c r="B131"/>
  <c r="C131"/>
  <c r="AA131"/>
  <c r="AB131"/>
  <c r="AC131"/>
  <c r="AE131"/>
  <c r="AM131"/>
  <c r="AV131"/>
  <c r="B132"/>
  <c r="C132"/>
  <c r="AA132"/>
  <c r="AB132"/>
  <c r="AC132"/>
  <c r="AE132"/>
  <c r="AM132"/>
  <c r="AV132"/>
  <c r="B133"/>
  <c r="C133"/>
  <c r="AA133"/>
  <c r="AB133"/>
  <c r="AC133"/>
  <c r="AE133"/>
  <c r="AM133"/>
  <c r="AV133"/>
  <c r="B134"/>
  <c r="C134"/>
  <c r="AA134"/>
  <c r="AB134"/>
  <c r="AC134"/>
  <c r="AE134"/>
  <c r="AM134"/>
  <c r="AV134"/>
  <c r="B135"/>
  <c r="C135"/>
  <c r="AA135"/>
  <c r="AB135"/>
  <c r="AC135"/>
  <c r="AE135"/>
  <c r="AM135"/>
  <c r="AV135"/>
  <c r="B136"/>
  <c r="C136"/>
  <c r="AA136"/>
  <c r="AB136"/>
  <c r="AC136"/>
  <c r="AE136"/>
  <c r="AM136"/>
  <c r="AV136"/>
  <c r="B137"/>
  <c r="C137"/>
  <c r="AA137"/>
  <c r="AB137"/>
  <c r="AC137"/>
  <c r="AE137"/>
  <c r="AM137"/>
  <c r="AV137"/>
  <c r="B138"/>
  <c r="C138"/>
  <c r="AA138"/>
  <c r="AB138"/>
  <c r="AC138"/>
  <c r="AE138"/>
  <c r="AM138"/>
  <c r="AV138"/>
  <c r="B139"/>
  <c r="C139"/>
  <c r="AA139"/>
  <c r="AB139"/>
  <c r="AC139"/>
  <c r="AE139"/>
  <c r="AM139"/>
  <c r="AV139"/>
  <c r="B140"/>
  <c r="C140"/>
  <c r="AA140"/>
  <c r="AB140"/>
  <c r="AC140"/>
  <c r="AE140"/>
  <c r="AM140"/>
  <c r="AV140"/>
  <c r="B141"/>
  <c r="C141"/>
  <c r="AA141"/>
  <c r="AB141"/>
  <c r="AC141"/>
  <c r="AE141"/>
  <c r="AM141"/>
  <c r="AV141"/>
  <c r="B142"/>
  <c r="C142"/>
  <c r="AA142"/>
  <c r="AB142"/>
  <c r="AC142"/>
  <c r="AE142"/>
  <c r="AM142"/>
  <c r="AV142"/>
  <c r="B143"/>
  <c r="C143"/>
  <c r="AA143"/>
  <c r="AB143"/>
  <c r="AC143"/>
  <c r="AE143"/>
  <c r="AM143"/>
  <c r="AV143"/>
  <c r="B144"/>
  <c r="C144"/>
  <c r="AA144"/>
  <c r="AB144"/>
  <c r="AC144"/>
  <c r="AE144"/>
  <c r="AM144"/>
  <c r="AV144"/>
  <c r="B145"/>
  <c r="C145"/>
  <c r="AA145"/>
  <c r="AB145"/>
  <c r="AC145"/>
  <c r="AE145"/>
  <c r="AM145"/>
  <c r="AV145"/>
  <c r="B146"/>
  <c r="C146"/>
  <c r="AA146"/>
  <c r="AB146"/>
  <c r="AC146"/>
  <c r="AE146"/>
  <c r="AM146"/>
  <c r="AV146"/>
  <c r="B147"/>
  <c r="C147"/>
  <c r="AA147"/>
  <c r="AB147"/>
  <c r="AC147"/>
  <c r="AE147"/>
  <c r="AM147"/>
  <c r="AV147"/>
  <c r="B148"/>
  <c r="C148"/>
  <c r="AA148"/>
  <c r="AB148"/>
  <c r="AC148"/>
  <c r="AE148"/>
  <c r="AM148"/>
  <c r="AV148"/>
  <c r="B149"/>
  <c r="C149"/>
  <c r="AA149"/>
  <c r="AB149"/>
  <c r="AC149"/>
  <c r="AE149"/>
  <c r="AM149"/>
  <c r="AV149"/>
  <c r="B150"/>
  <c r="C150"/>
  <c r="AA150"/>
  <c r="AB150"/>
  <c r="AC150"/>
  <c r="AE150"/>
  <c r="AM150"/>
  <c r="AV150"/>
  <c r="B151"/>
  <c r="C151"/>
  <c r="AA151"/>
  <c r="AB151"/>
  <c r="AC151"/>
  <c r="AE151"/>
  <c r="AM151"/>
  <c r="AV151"/>
  <c r="B152"/>
  <c r="C152"/>
  <c r="AA152"/>
  <c r="AB152"/>
  <c r="AC152"/>
  <c r="AE152"/>
  <c r="AM152"/>
  <c r="AV152"/>
  <c r="B153"/>
  <c r="C153"/>
  <c r="AA153"/>
  <c r="AB153"/>
  <c r="AC153"/>
  <c r="AE153"/>
  <c r="AM153"/>
  <c r="AV153"/>
  <c r="B154"/>
  <c r="C154"/>
  <c r="AA154"/>
  <c r="AB154"/>
  <c r="AC154"/>
  <c r="AE154"/>
  <c r="AM154"/>
  <c r="AV154"/>
  <c r="B155"/>
  <c r="C155"/>
  <c r="AA155"/>
  <c r="AB155"/>
  <c r="AC155"/>
  <c r="AE155"/>
  <c r="AM155"/>
  <c r="AV155"/>
  <c r="B156"/>
  <c r="C156"/>
  <c r="AA156"/>
  <c r="AB156"/>
  <c r="AC156"/>
  <c r="AE156"/>
  <c r="AM156"/>
  <c r="AV156"/>
  <c r="B157"/>
  <c r="C157"/>
  <c r="AA157"/>
  <c r="AB157"/>
  <c r="AC157"/>
  <c r="AE157"/>
  <c r="AM157"/>
  <c r="AV157"/>
  <c r="B158"/>
  <c r="C158"/>
  <c r="AA158"/>
  <c r="AB158"/>
  <c r="AC158"/>
  <c r="AE158"/>
  <c r="AM158"/>
  <c r="AV158"/>
  <c r="B159"/>
  <c r="C159"/>
  <c r="AA159"/>
  <c r="AB159"/>
  <c r="AC159"/>
  <c r="AE159"/>
  <c r="AM159"/>
  <c r="AV159"/>
  <c r="B160"/>
  <c r="C160"/>
  <c r="AA160"/>
  <c r="AB160"/>
  <c r="AC160"/>
  <c r="AE160"/>
  <c r="AM160"/>
  <c r="AV160"/>
  <c r="B161"/>
  <c r="C161"/>
  <c r="AA161"/>
  <c r="AB161"/>
  <c r="AC161"/>
  <c r="AE161"/>
  <c r="AM161"/>
  <c r="AV161"/>
  <c r="B162"/>
  <c r="C162"/>
  <c r="AA162"/>
  <c r="AB162"/>
  <c r="AC162"/>
  <c r="AE162"/>
  <c r="AM162"/>
  <c r="AV162"/>
  <c r="B163"/>
  <c r="C163"/>
  <c r="AA163"/>
  <c r="AB163"/>
  <c r="AC163"/>
  <c r="AE163"/>
  <c r="AM163"/>
  <c r="AV163"/>
  <c r="B164"/>
  <c r="C164"/>
  <c r="AA164"/>
  <c r="AB164"/>
  <c r="AC164"/>
  <c r="AE164"/>
  <c r="AM164"/>
  <c r="AV164"/>
  <c r="B165"/>
  <c r="C165"/>
  <c r="AA165"/>
  <c r="AB165"/>
  <c r="AC165"/>
  <c r="AE165"/>
  <c r="AM165"/>
  <c r="AV165"/>
  <c r="B166"/>
  <c r="C166"/>
  <c r="AA166"/>
  <c r="AB166"/>
  <c r="AC166"/>
  <c r="AE166"/>
  <c r="AM166"/>
  <c r="AV166"/>
  <c r="B167"/>
  <c r="C167"/>
  <c r="AA167"/>
  <c r="AB167"/>
  <c r="AC167"/>
  <c r="AE167"/>
  <c r="AM167"/>
  <c r="AV167"/>
  <c r="B168"/>
  <c r="C168"/>
  <c r="AA168"/>
  <c r="AB168"/>
  <c r="AC168"/>
  <c r="AE168"/>
  <c r="AM168"/>
  <c r="AV168"/>
  <c r="B169"/>
  <c r="C169"/>
  <c r="AA169"/>
  <c r="AB169"/>
  <c r="AC169"/>
  <c r="AE169"/>
  <c r="AM169"/>
  <c r="AV169"/>
  <c r="B170"/>
  <c r="C170"/>
  <c r="AA170"/>
  <c r="AB170"/>
  <c r="AC170"/>
  <c r="AE170"/>
  <c r="AM170"/>
  <c r="AV170"/>
  <c r="B171"/>
  <c r="C171"/>
  <c r="AA171"/>
  <c r="AB171"/>
  <c r="AC171"/>
  <c r="AE171"/>
  <c r="AM171"/>
  <c r="AV171"/>
  <c r="B172"/>
  <c r="C172"/>
  <c r="AA172"/>
  <c r="AB172"/>
  <c r="AC172"/>
  <c r="AE172"/>
  <c r="AM172"/>
  <c r="AV172"/>
  <c r="B173"/>
  <c r="C173"/>
  <c r="AA173"/>
  <c r="AB173"/>
  <c r="AC173"/>
  <c r="AE173"/>
  <c r="AM173"/>
  <c r="AV173"/>
  <c r="B174"/>
  <c r="C174"/>
  <c r="AA174"/>
  <c r="AB174"/>
  <c r="AC174"/>
  <c r="AE174"/>
  <c r="AM174"/>
  <c r="AV174"/>
  <c r="B175"/>
  <c r="C175"/>
  <c r="AA175"/>
  <c r="AB175"/>
  <c r="AC175"/>
  <c r="AE175"/>
  <c r="AM175"/>
  <c r="AV175"/>
  <c r="B176"/>
  <c r="C176"/>
  <c r="AA176"/>
  <c r="AB176"/>
  <c r="AC176"/>
  <c r="AE176"/>
  <c r="AM176"/>
  <c r="AV176"/>
  <c r="B177"/>
  <c r="C177"/>
  <c r="AA177"/>
  <c r="AB177"/>
  <c r="AC177"/>
  <c r="AE177"/>
  <c r="AM177"/>
  <c r="AV177"/>
  <c r="B178"/>
  <c r="C178"/>
  <c r="AA178"/>
  <c r="AB178"/>
  <c r="AC178"/>
  <c r="AE178"/>
  <c r="AM178"/>
  <c r="AV178"/>
  <c r="B179"/>
  <c r="C179"/>
  <c r="AA179"/>
  <c r="AB179"/>
  <c r="AC179"/>
  <c r="AE179"/>
  <c r="AM179"/>
  <c r="AV179"/>
  <c r="B180"/>
  <c r="C180"/>
  <c r="AA180"/>
  <c r="AB180"/>
  <c r="AC180"/>
  <c r="AE180"/>
  <c r="AM180"/>
  <c r="AV180"/>
  <c r="B181"/>
  <c r="C181"/>
  <c r="AA181"/>
  <c r="AB181"/>
  <c r="AC181"/>
  <c r="AE181"/>
  <c r="AM181"/>
  <c r="AV181"/>
  <c r="B182"/>
  <c r="C182"/>
  <c r="AA182"/>
  <c r="AB182"/>
  <c r="AC182"/>
  <c r="AE182"/>
  <c r="AM182"/>
  <c r="AV182"/>
  <c r="B183"/>
  <c r="C183"/>
  <c r="AA183"/>
  <c r="AB183"/>
  <c r="AC183"/>
  <c r="AE183"/>
  <c r="AM183"/>
  <c r="AV183"/>
  <c r="B184"/>
  <c r="C184"/>
  <c r="AA184"/>
  <c r="AB184"/>
  <c r="AC184"/>
  <c r="AE184"/>
  <c r="AM184"/>
  <c r="AV184"/>
  <c r="B185"/>
  <c r="C185"/>
  <c r="AA185"/>
  <c r="AB185"/>
  <c r="AC185"/>
  <c r="AE185"/>
  <c r="AM185"/>
  <c r="AV185"/>
  <c r="B186"/>
  <c r="C186"/>
  <c r="AA186"/>
  <c r="AB186"/>
  <c r="AC186"/>
  <c r="AE186"/>
  <c r="AM186"/>
  <c r="AV186"/>
  <c r="B187"/>
  <c r="C187"/>
  <c r="AA187"/>
  <c r="AB187"/>
  <c r="AC187"/>
  <c r="AE187"/>
  <c r="AM187"/>
  <c r="AV187"/>
  <c r="B188"/>
  <c r="C188"/>
  <c r="AA188"/>
  <c r="AB188"/>
  <c r="AC188"/>
  <c r="AE188"/>
  <c r="AM188"/>
  <c r="AV188"/>
  <c r="B189"/>
  <c r="C189"/>
  <c r="AA189"/>
  <c r="AB189"/>
  <c r="AC189"/>
  <c r="AE189"/>
  <c r="AM189"/>
  <c r="AV189"/>
  <c r="B190"/>
  <c r="C190"/>
  <c r="AA190"/>
  <c r="AB190"/>
  <c r="AC190"/>
  <c r="AE190"/>
  <c r="AM190"/>
  <c r="AV190"/>
  <c r="B191"/>
  <c r="C191"/>
  <c r="AA191"/>
  <c r="AB191"/>
  <c r="AC191"/>
  <c r="AE191"/>
  <c r="AM191"/>
  <c r="AV191"/>
  <c r="B192"/>
  <c r="C192"/>
  <c r="AA192"/>
  <c r="AB192"/>
  <c r="AC192"/>
  <c r="AE192"/>
  <c r="AM192"/>
  <c r="AV192"/>
  <c r="B193"/>
  <c r="C193"/>
  <c r="AA193"/>
  <c r="AB193"/>
  <c r="AC193"/>
  <c r="AE193"/>
  <c r="AM193"/>
  <c r="AV193"/>
  <c r="B194"/>
  <c r="C194"/>
  <c r="AA194"/>
  <c r="AB194"/>
  <c r="AC194"/>
  <c r="AE194"/>
  <c r="AM194"/>
  <c r="AV194"/>
  <c r="B195"/>
  <c r="C195"/>
  <c r="AA195"/>
  <c r="AB195"/>
  <c r="AC195"/>
  <c r="AE195"/>
  <c r="AM195"/>
  <c r="AV195"/>
  <c r="B196"/>
  <c r="C196"/>
  <c r="AA196"/>
  <c r="AB196"/>
  <c r="AC196"/>
  <c r="AE196"/>
  <c r="AM196"/>
  <c r="AV196"/>
  <c r="B197"/>
  <c r="C197"/>
  <c r="AA197"/>
  <c r="AB197"/>
  <c r="AC197"/>
  <c r="AE197"/>
  <c r="AM197"/>
  <c r="AV197"/>
  <c r="B198"/>
  <c r="C198"/>
  <c r="AA198"/>
  <c r="AB198"/>
  <c r="AC198"/>
  <c r="AE198"/>
  <c r="AM198"/>
  <c r="AV198"/>
  <c r="B199"/>
  <c r="C199"/>
  <c r="AA199"/>
  <c r="AB199"/>
  <c r="AC199"/>
  <c r="AE199"/>
  <c r="AM199"/>
  <c r="AV199"/>
  <c r="B200"/>
  <c r="C200"/>
  <c r="AA200"/>
  <c r="AB200"/>
  <c r="AC200"/>
  <c r="AE200"/>
  <c r="AM200"/>
  <c r="AV200"/>
  <c r="B201"/>
  <c r="C201"/>
  <c r="AA201"/>
  <c r="AB201"/>
  <c r="AC201"/>
  <c r="AE201"/>
  <c r="AM201"/>
  <c r="AV201"/>
  <c r="B202"/>
  <c r="C202"/>
  <c r="AA202"/>
  <c r="AB202"/>
  <c r="AC202"/>
  <c r="AE202"/>
  <c r="AM202"/>
  <c r="AV202"/>
  <c r="B204"/>
  <c r="C204"/>
  <c r="AA204"/>
  <c r="AB204"/>
  <c r="AC204"/>
  <c r="AE204"/>
  <c r="AM204"/>
  <c r="AV204"/>
  <c r="B205"/>
  <c r="C205"/>
  <c r="AA205"/>
  <c r="AB205"/>
  <c r="AC205"/>
  <c r="AE205"/>
  <c r="AM205"/>
  <c r="AV205"/>
  <c r="B206"/>
  <c r="C206"/>
  <c r="AA206"/>
  <c r="AB206"/>
  <c r="AC206"/>
  <c r="AE206"/>
  <c r="AM206"/>
  <c r="AV206"/>
  <c r="B207"/>
  <c r="C207"/>
  <c r="AA207"/>
  <c r="AB207"/>
  <c r="AC207"/>
  <c r="AE207"/>
  <c r="AM207"/>
  <c r="AV207"/>
  <c r="B208"/>
  <c r="C208"/>
  <c r="AA208"/>
  <c r="AB208"/>
  <c r="AC208"/>
  <c r="AE208"/>
  <c r="AM208"/>
  <c r="AV208"/>
  <c r="B209"/>
  <c r="C209"/>
  <c r="AA209"/>
  <c r="AB209"/>
  <c r="AC209"/>
  <c r="AE209"/>
  <c r="AM209"/>
  <c r="AV209"/>
  <c r="B210"/>
  <c r="C210"/>
  <c r="AA210"/>
  <c r="AB210"/>
  <c r="AC210"/>
  <c r="AE210"/>
  <c r="AM210"/>
  <c r="AV210"/>
  <c r="B211"/>
  <c r="C211"/>
  <c r="AA211"/>
  <c r="AB211"/>
  <c r="AC211"/>
  <c r="AE211"/>
  <c r="AM211"/>
  <c r="AV211"/>
  <c r="B212"/>
  <c r="C212"/>
  <c r="AA212"/>
  <c r="AB212"/>
  <c r="AC212"/>
  <c r="AE212"/>
  <c r="AM212"/>
  <c r="AV212"/>
  <c r="B213"/>
  <c r="C213"/>
  <c r="AA213"/>
  <c r="AB213"/>
  <c r="AC213"/>
  <c r="AE213"/>
  <c r="AM213"/>
  <c r="AV213"/>
  <c r="B214"/>
  <c r="C214"/>
  <c r="AA214"/>
  <c r="AB214"/>
  <c r="AC214"/>
  <c r="AE214"/>
  <c r="AM214"/>
  <c r="AV214"/>
  <c r="B215"/>
  <c r="C215"/>
  <c r="AA215"/>
  <c r="AB215"/>
  <c r="AC215"/>
  <c r="AM215"/>
  <c r="AV215"/>
  <c r="B216"/>
  <c r="C216"/>
  <c r="AA216"/>
  <c r="AB216"/>
  <c r="AC216"/>
  <c r="AE216"/>
  <c r="AM216"/>
  <c r="AV216"/>
  <c r="B217"/>
  <c r="C217"/>
  <c r="AA217"/>
  <c r="AB217"/>
  <c r="AC217"/>
  <c r="AE217"/>
  <c r="AM217"/>
  <c r="AV217"/>
  <c r="B218"/>
  <c r="C218"/>
  <c r="AA218"/>
  <c r="AB218"/>
  <c r="AC218"/>
  <c r="AE218"/>
  <c r="AM218"/>
  <c r="AV218"/>
  <c r="B219"/>
  <c r="C219"/>
  <c r="AA219"/>
  <c r="AB219"/>
  <c r="AC219"/>
  <c r="AE219"/>
  <c r="AM219"/>
  <c r="AV219"/>
  <c r="B220"/>
  <c r="C220"/>
  <c r="AA220"/>
  <c r="AB220"/>
  <c r="AC220"/>
  <c r="AE220"/>
  <c r="AM220"/>
  <c r="AV220"/>
  <c r="B221"/>
  <c r="C221"/>
  <c r="AA221"/>
  <c r="AB221"/>
  <c r="AC221"/>
  <c r="AE221"/>
  <c r="AM221"/>
  <c r="AV221"/>
  <c r="B222"/>
  <c r="C222"/>
  <c r="AA222"/>
  <c r="AB222"/>
  <c r="AC222"/>
  <c r="AE222"/>
  <c r="AM222"/>
  <c r="AV222"/>
  <c r="B223"/>
  <c r="C223"/>
  <c r="AA223"/>
  <c r="AB223"/>
  <c r="AC223"/>
  <c r="AE223"/>
  <c r="AM223"/>
  <c r="AV223"/>
  <c r="B224"/>
  <c r="C224"/>
  <c r="AA224"/>
  <c r="AB224"/>
  <c r="AC224"/>
  <c r="AE224"/>
  <c r="AM224"/>
  <c r="AV224"/>
  <c r="B225"/>
  <c r="C225"/>
  <c r="AA225"/>
  <c r="AB225"/>
  <c r="AC225"/>
  <c r="AE225"/>
  <c r="AM225"/>
  <c r="AV225"/>
  <c r="B226"/>
  <c r="C226"/>
  <c r="AA226"/>
  <c r="AB226"/>
  <c r="AC226"/>
  <c r="AE226"/>
  <c r="AM226"/>
  <c r="AV226"/>
  <c r="B227"/>
  <c r="C227"/>
  <c r="AA227"/>
  <c r="AB227"/>
  <c r="AC227"/>
  <c r="AE227"/>
  <c r="AM227"/>
  <c r="AV227"/>
  <c r="B228"/>
  <c r="C228"/>
  <c r="AA228"/>
  <c r="AB228"/>
  <c r="AC228"/>
  <c r="AE228"/>
  <c r="AM228"/>
  <c r="AV228"/>
  <c r="B229"/>
  <c r="C229"/>
  <c r="AA229"/>
  <c r="AB229"/>
  <c r="AC229"/>
  <c r="AE229"/>
  <c r="AM229"/>
  <c r="AV229"/>
  <c r="B230"/>
  <c r="C230"/>
  <c r="AA230"/>
  <c r="AB230"/>
  <c r="AC230"/>
  <c r="AE230"/>
  <c r="AM230"/>
  <c r="AV230"/>
  <c r="B231"/>
  <c r="C231"/>
  <c r="AA231"/>
  <c r="AB231"/>
  <c r="AC231"/>
  <c r="AE231"/>
  <c r="AM231"/>
  <c r="AV231"/>
  <c r="B232"/>
  <c r="C232"/>
  <c r="AA232"/>
  <c r="AB232"/>
  <c r="AC232"/>
  <c r="AE232"/>
  <c r="AM232"/>
  <c r="AV232"/>
  <c r="B233"/>
  <c r="C233"/>
  <c r="AA233"/>
  <c r="AB233"/>
  <c r="AC233"/>
  <c r="AE233"/>
  <c r="AM233"/>
  <c r="AV233"/>
  <c r="B234"/>
  <c r="C234"/>
  <c r="AA234"/>
  <c r="AB234"/>
  <c r="AC234"/>
  <c r="AE234"/>
  <c r="AM234"/>
  <c r="AV234"/>
  <c r="B235"/>
  <c r="C235"/>
  <c r="AA235"/>
  <c r="AB235"/>
  <c r="AC235"/>
  <c r="AE235"/>
  <c r="AM235"/>
  <c r="AV235"/>
  <c r="B236"/>
  <c r="C236"/>
  <c r="AA236"/>
  <c r="AB236"/>
  <c r="AC236"/>
  <c r="AE236"/>
  <c r="AM236"/>
  <c r="AV236"/>
  <c r="B237"/>
  <c r="C237"/>
  <c r="AA237"/>
  <c r="AB237"/>
  <c r="AC237"/>
  <c r="AE237"/>
  <c r="AM237"/>
  <c r="AV237"/>
  <c r="B238"/>
  <c r="C238"/>
  <c r="AA238"/>
  <c r="AB238"/>
  <c r="AC238"/>
  <c r="AE238"/>
  <c r="AM238"/>
  <c r="AV238"/>
  <c r="B239"/>
  <c r="C239"/>
  <c r="AA239"/>
  <c r="AB239"/>
  <c r="AC239"/>
  <c r="AE239"/>
  <c r="AM239"/>
  <c r="AV239"/>
  <c r="B240"/>
  <c r="C240"/>
  <c r="AA240"/>
  <c r="AB240"/>
  <c r="AC240"/>
  <c r="AE240"/>
  <c r="AM240"/>
  <c r="AV240"/>
  <c r="B241"/>
  <c r="C241"/>
  <c r="AA241"/>
  <c r="AB241"/>
  <c r="AC241"/>
  <c r="AE241"/>
  <c r="AM241"/>
  <c r="AV241"/>
  <c r="B242"/>
  <c r="C242"/>
  <c r="AA242"/>
  <c r="AB242"/>
  <c r="AC242"/>
  <c r="AE242"/>
  <c r="AM242"/>
  <c r="AV242"/>
  <c r="B243"/>
  <c r="C243"/>
  <c r="AA243"/>
  <c r="AB243"/>
  <c r="AC243"/>
  <c r="AE243"/>
  <c r="AM243"/>
  <c r="AV243"/>
  <c r="B244"/>
  <c r="C244"/>
  <c r="AA244"/>
  <c r="AB244"/>
  <c r="AC244"/>
  <c r="AE244"/>
  <c r="AM244"/>
  <c r="AV244"/>
  <c r="B245"/>
  <c r="C245"/>
  <c r="AA245"/>
  <c r="AB245"/>
  <c r="AC245"/>
  <c r="AE245"/>
  <c r="AM245"/>
  <c r="AV245"/>
  <c r="B246"/>
  <c r="C246"/>
  <c r="AA246"/>
  <c r="AB246"/>
  <c r="AC246"/>
  <c r="AE246"/>
  <c r="AM246"/>
  <c r="AV246"/>
  <c r="B247"/>
  <c r="C247"/>
  <c r="AA247"/>
  <c r="AB247"/>
  <c r="AC247"/>
  <c r="AE247"/>
  <c r="AM247"/>
  <c r="AV247"/>
  <c r="B248"/>
  <c r="C248"/>
  <c r="AA248"/>
  <c r="AB248"/>
  <c r="AC248"/>
  <c r="AE248"/>
  <c r="AM248"/>
  <c r="AV248"/>
  <c r="B249"/>
  <c r="C249"/>
  <c r="AA249"/>
  <c r="AB249"/>
  <c r="AC249"/>
  <c r="AE249"/>
  <c r="AM249"/>
  <c r="AV249"/>
  <c r="B250"/>
  <c r="C250"/>
  <c r="AA250"/>
  <c r="AB250"/>
  <c r="AC250"/>
  <c r="AE250"/>
  <c r="AM250"/>
  <c r="AV250"/>
  <c r="B251"/>
  <c r="C251"/>
  <c r="AA251"/>
  <c r="AB251"/>
  <c r="AC251"/>
  <c r="AE251"/>
  <c r="AM251"/>
  <c r="AV251"/>
  <c r="B252"/>
  <c r="C252"/>
  <c r="AA252"/>
  <c r="AB252"/>
  <c r="AC252"/>
  <c r="AE252"/>
  <c r="AM252"/>
  <c r="AV252"/>
  <c r="B253"/>
  <c r="C253"/>
  <c r="AA253"/>
  <c r="AB253"/>
  <c r="AC253"/>
  <c r="AE253"/>
  <c r="AM253"/>
  <c r="AV253"/>
  <c r="B254"/>
  <c r="C254"/>
  <c r="AA254"/>
  <c r="AB254"/>
  <c r="AC254"/>
  <c r="AE254"/>
  <c r="AM254"/>
  <c r="AV254"/>
  <c r="B255"/>
  <c r="C255"/>
  <c r="AA255"/>
  <c r="AB255"/>
  <c r="AC255"/>
  <c r="AE255"/>
  <c r="AM255"/>
  <c r="AV255"/>
  <c r="B256"/>
  <c r="C256"/>
  <c r="AA256"/>
  <c r="AB256"/>
  <c r="AC256"/>
  <c r="AE256"/>
  <c r="AM256"/>
  <c r="AV256"/>
  <c r="B257"/>
  <c r="C257"/>
  <c r="AA257"/>
  <c r="AB257"/>
  <c r="AC257"/>
  <c r="AE257"/>
  <c r="AM257"/>
  <c r="AV257"/>
  <c r="B258"/>
  <c r="C258"/>
  <c r="AA258"/>
  <c r="AB258"/>
  <c r="AC258"/>
  <c r="AE258"/>
  <c r="AM258"/>
  <c r="AV258"/>
  <c r="B259"/>
  <c r="C259"/>
  <c r="AA259"/>
  <c r="AB259"/>
  <c r="AC259"/>
  <c r="AE259"/>
  <c r="AM259"/>
  <c r="AV259"/>
  <c r="B260"/>
  <c r="C260"/>
  <c r="AA260"/>
  <c r="AB260"/>
  <c r="AC260"/>
  <c r="AE260"/>
  <c r="AM260"/>
  <c r="AV260"/>
  <c r="B261"/>
  <c r="C261"/>
  <c r="AA261"/>
  <c r="AB261"/>
  <c r="AC261"/>
  <c r="AE261"/>
  <c r="AM261"/>
  <c r="AV261"/>
  <c r="B262"/>
  <c r="C262"/>
  <c r="AA262"/>
  <c r="AB262"/>
  <c r="AC262"/>
  <c r="AE262"/>
  <c r="AM262"/>
  <c r="AV262"/>
  <c r="B263"/>
  <c r="C263"/>
  <c r="AA263"/>
  <c r="AB263"/>
  <c r="AC263"/>
  <c r="AE263"/>
  <c r="AM263"/>
  <c r="AV263"/>
  <c r="B264"/>
  <c r="C264"/>
  <c r="AA264"/>
  <c r="AB264"/>
  <c r="AC264"/>
  <c r="AE264"/>
  <c r="AM264"/>
  <c r="AV264"/>
  <c r="B265"/>
  <c r="C265"/>
  <c r="AA265"/>
  <c r="AB265"/>
  <c r="AC265"/>
  <c r="AE265"/>
  <c r="AM265"/>
  <c r="AV265"/>
  <c r="B266"/>
  <c r="C266"/>
  <c r="AA266"/>
  <c r="AB266"/>
  <c r="AC266"/>
  <c r="AE266"/>
  <c r="AM266"/>
  <c r="AV266"/>
  <c r="B267"/>
  <c r="C267"/>
  <c r="AA267"/>
  <c r="AB267"/>
  <c r="AC267"/>
  <c r="AE267"/>
  <c r="AM267"/>
  <c r="AV267"/>
  <c r="B268"/>
  <c r="C268"/>
  <c r="AA268"/>
  <c r="AB268"/>
  <c r="AC268"/>
  <c r="AE268"/>
  <c r="AM268"/>
  <c r="AV268"/>
  <c r="B269"/>
  <c r="C269"/>
  <c r="AA269"/>
  <c r="AB269"/>
  <c r="AC269"/>
  <c r="AE269"/>
  <c r="AM269"/>
  <c r="AV269"/>
  <c r="B270"/>
  <c r="C270"/>
  <c r="AA270"/>
  <c r="AB270"/>
  <c r="AC270"/>
  <c r="AE270"/>
  <c r="AM270"/>
  <c r="AV270"/>
  <c r="B271"/>
  <c r="C271"/>
  <c r="AA271"/>
  <c r="AB271"/>
  <c r="AC271"/>
  <c r="AE271"/>
  <c r="AM271"/>
  <c r="AV271"/>
  <c r="B272"/>
  <c r="C272"/>
  <c r="AA272"/>
  <c r="AB272"/>
  <c r="AC272"/>
  <c r="AE272"/>
  <c r="AM272"/>
  <c r="AV272"/>
  <c r="B273"/>
  <c r="C273"/>
  <c r="AA273"/>
  <c r="AB273"/>
  <c r="AC273"/>
  <c r="AE273"/>
  <c r="AM273"/>
  <c r="AV273"/>
  <c r="B274"/>
  <c r="C274"/>
  <c r="AA274"/>
  <c r="AB274"/>
  <c r="AC274"/>
  <c r="AE274"/>
  <c r="AM274"/>
  <c r="AV274"/>
  <c r="B275"/>
  <c r="C275"/>
  <c r="AA275"/>
  <c r="AB275"/>
  <c r="AC275"/>
  <c r="AE275"/>
  <c r="AM275"/>
  <c r="AV275"/>
  <c r="B276"/>
  <c r="C276"/>
  <c r="AA276"/>
  <c r="AB276"/>
  <c r="AC276"/>
  <c r="AE276"/>
  <c r="AM276"/>
  <c r="AV276"/>
  <c r="B277"/>
  <c r="C277"/>
  <c r="AA277"/>
  <c r="AB277"/>
  <c r="AC277"/>
  <c r="AE277"/>
  <c r="AM277"/>
  <c r="AV277"/>
  <c r="B278"/>
  <c r="C278"/>
  <c r="AA278"/>
  <c r="AB278"/>
  <c r="AC278"/>
  <c r="AE278"/>
  <c r="AM278"/>
  <c r="AV278"/>
  <c r="B279"/>
  <c r="C279"/>
  <c r="AA279"/>
  <c r="AB279"/>
  <c r="AC279"/>
  <c r="AE279"/>
  <c r="AM279"/>
  <c r="AV279"/>
  <c r="B280"/>
  <c r="C280"/>
  <c r="AA280"/>
  <c r="AB280"/>
  <c r="AC280"/>
  <c r="AE280"/>
  <c r="AM280"/>
  <c r="AV280"/>
  <c r="B281"/>
  <c r="C281"/>
  <c r="AA281"/>
  <c r="AB281"/>
  <c r="AC281"/>
  <c r="AE281"/>
  <c r="AM281"/>
  <c r="AV281"/>
  <c r="B282"/>
  <c r="C282"/>
  <c r="AA282"/>
  <c r="AB282"/>
  <c r="AC282"/>
  <c r="AE282"/>
  <c r="AM282"/>
  <c r="AV282"/>
  <c r="B283"/>
  <c r="C283"/>
  <c r="AA283"/>
  <c r="AB283"/>
  <c r="AC283"/>
  <c r="AE283"/>
  <c r="AM283"/>
  <c r="AV283"/>
  <c r="B284"/>
  <c r="C284"/>
  <c r="AA284"/>
  <c r="AB284"/>
  <c r="AC284"/>
  <c r="AE284"/>
  <c r="AM284"/>
  <c r="AV284"/>
  <c r="B285"/>
  <c r="C285"/>
  <c r="AA285"/>
  <c r="AB285"/>
  <c r="AC285"/>
  <c r="AE285"/>
  <c r="AM285"/>
  <c r="AV285"/>
  <c r="B286"/>
  <c r="C286"/>
  <c r="AA286"/>
  <c r="AB286"/>
  <c r="AC286"/>
  <c r="AE286"/>
  <c r="AM286"/>
  <c r="AV286"/>
  <c r="B287"/>
  <c r="C287"/>
  <c r="AA287"/>
  <c r="AB287"/>
  <c r="AC287"/>
  <c r="AE287"/>
  <c r="AM287"/>
  <c r="AV287"/>
  <c r="B288"/>
  <c r="C288"/>
  <c r="AA288"/>
  <c r="AB288"/>
  <c r="AC288"/>
  <c r="AE288"/>
  <c r="AM288"/>
  <c r="AV288"/>
  <c r="B289"/>
  <c r="C289"/>
  <c r="AA289"/>
  <c r="AB289"/>
  <c r="AC289"/>
  <c r="AE289"/>
  <c r="AM289"/>
  <c r="AV289"/>
  <c r="B290"/>
  <c r="C290"/>
  <c r="AA290"/>
  <c r="AB290"/>
  <c r="AC290"/>
  <c r="AE290"/>
  <c r="AM290"/>
  <c r="AV290"/>
  <c r="B291"/>
  <c r="C291"/>
  <c r="AA291"/>
  <c r="AB291"/>
  <c r="AC291"/>
  <c r="AE291"/>
  <c r="AM291"/>
  <c r="AV291"/>
  <c r="B292"/>
  <c r="C292"/>
  <c r="AA292"/>
  <c r="AB292"/>
  <c r="AC292"/>
  <c r="AE292"/>
  <c r="AM292"/>
  <c r="AV292"/>
  <c r="B293"/>
  <c r="C293"/>
  <c r="AA293"/>
  <c r="AB293"/>
  <c r="AC293"/>
  <c r="AE293"/>
  <c r="AM293"/>
  <c r="AV293"/>
  <c r="B294"/>
  <c r="C294"/>
  <c r="AA294"/>
  <c r="AB294"/>
  <c r="AC294"/>
  <c r="AE294"/>
  <c r="AM294"/>
  <c r="AV294"/>
  <c r="B295"/>
  <c r="C295"/>
  <c r="AA295"/>
  <c r="AB295"/>
  <c r="AC295"/>
  <c r="AE295"/>
  <c r="AM295"/>
  <c r="AV295"/>
  <c r="B296"/>
  <c r="C296"/>
  <c r="AA296"/>
  <c r="AB296"/>
  <c r="AC296"/>
  <c r="AE296"/>
  <c r="AM296"/>
  <c r="AV296"/>
  <c r="B297"/>
  <c r="C297"/>
  <c r="AA297"/>
  <c r="AB297"/>
  <c r="AC297"/>
  <c r="AE297"/>
  <c r="AM297"/>
  <c r="AV297"/>
  <c r="B298"/>
  <c r="C298"/>
  <c r="AA298"/>
  <c r="AB298"/>
  <c r="AC298"/>
  <c r="AE298"/>
  <c r="AM298"/>
  <c r="AV298"/>
  <c r="B299"/>
  <c r="C299"/>
  <c r="AA299"/>
  <c r="AB299"/>
  <c r="AC299"/>
  <c r="AE299"/>
  <c r="AM299"/>
  <c r="AV299"/>
  <c r="B300"/>
  <c r="C300"/>
  <c r="AA300"/>
  <c r="AB300"/>
  <c r="AC300"/>
  <c r="AE300"/>
  <c r="AM300"/>
  <c r="AV300"/>
  <c r="B301"/>
  <c r="C301"/>
  <c r="AA301"/>
  <c r="AB301"/>
  <c r="AC301"/>
  <c r="AE301"/>
  <c r="AM301"/>
  <c r="AV301"/>
  <c r="B302"/>
  <c r="C302"/>
  <c r="AA302"/>
  <c r="AB302"/>
  <c r="AC302"/>
  <c r="AE302"/>
  <c r="AM302"/>
  <c r="AV302"/>
  <c r="B303"/>
  <c r="C303"/>
  <c r="AA303"/>
  <c r="AB303"/>
  <c r="AC303"/>
  <c r="AE303"/>
  <c r="AM303"/>
  <c r="AV303"/>
  <c r="B304"/>
  <c r="C304"/>
  <c r="AA304"/>
  <c r="AB304"/>
  <c r="AC304"/>
  <c r="AE304"/>
  <c r="AM304"/>
  <c r="AV304"/>
  <c r="B305"/>
  <c r="C305"/>
  <c r="AA305"/>
  <c r="AB305"/>
  <c r="AC305"/>
  <c r="AE305"/>
  <c r="AM305"/>
  <c r="AV305"/>
  <c r="B306"/>
  <c r="C306"/>
  <c r="AA306"/>
  <c r="AB306"/>
  <c r="AC306"/>
  <c r="AE306"/>
  <c r="AM306"/>
  <c r="AV306"/>
  <c r="B307"/>
  <c r="C307"/>
  <c r="AA307"/>
  <c r="AB307"/>
  <c r="AC307"/>
  <c r="AE307"/>
  <c r="AM307"/>
  <c r="AV307"/>
  <c r="B308"/>
  <c r="C308"/>
  <c r="AA308"/>
  <c r="AB308"/>
  <c r="AC308"/>
  <c r="AE308"/>
  <c r="AM308"/>
  <c r="AV308"/>
  <c r="B309"/>
  <c r="C309"/>
  <c r="AA309"/>
  <c r="AB309"/>
  <c r="AC309"/>
  <c r="AE309"/>
  <c r="AM309"/>
  <c r="AV309"/>
  <c r="B310"/>
  <c r="C310"/>
  <c r="AA310"/>
  <c r="AB310"/>
  <c r="AC310"/>
  <c r="AE310"/>
  <c r="AM310"/>
  <c r="AV310"/>
  <c r="B311"/>
  <c r="C311"/>
  <c r="AA311"/>
  <c r="AB311"/>
  <c r="AC311"/>
  <c r="AE311"/>
  <c r="AM311"/>
  <c r="AV311"/>
  <c r="B312"/>
  <c r="C312"/>
  <c r="AA312"/>
  <c r="AB312"/>
  <c r="AC312"/>
  <c r="AE312"/>
  <c r="AM312"/>
  <c r="AV312"/>
  <c r="B313"/>
  <c r="C313"/>
  <c r="AA313"/>
  <c r="AB313"/>
  <c r="AC313"/>
  <c r="AE313"/>
  <c r="AM313"/>
  <c r="AV313"/>
  <c r="B314"/>
  <c r="C314"/>
  <c r="AA314"/>
  <c r="AB314"/>
  <c r="AC314"/>
  <c r="AE314"/>
  <c r="AM314"/>
  <c r="AV314"/>
  <c r="B315"/>
  <c r="C315"/>
  <c r="AA315"/>
  <c r="AB315"/>
  <c r="AC315"/>
  <c r="AE315"/>
  <c r="AM315"/>
  <c r="AV315"/>
  <c r="B316"/>
  <c r="C316"/>
  <c r="AB316"/>
  <c r="AC316"/>
  <c r="AE316"/>
  <c r="AM316"/>
  <c r="AV316"/>
  <c r="B317"/>
  <c r="C317"/>
  <c r="AA317"/>
  <c r="AB317"/>
  <c r="AC317"/>
  <c r="AE317"/>
  <c r="AM317"/>
  <c r="AV317"/>
  <c r="B318"/>
  <c r="C318"/>
  <c r="AA318"/>
  <c r="AB318"/>
  <c r="AC318"/>
  <c r="AE318"/>
  <c r="AM318"/>
  <c r="AV318"/>
  <c r="B319"/>
  <c r="C319"/>
  <c r="AA319"/>
  <c r="AB319"/>
  <c r="AC319"/>
  <c r="AE319"/>
  <c r="AM319"/>
  <c r="AV319"/>
  <c r="B320"/>
  <c r="C320"/>
  <c r="AA320"/>
  <c r="AB320"/>
  <c r="AC320"/>
  <c r="AE320"/>
  <c r="AM320"/>
  <c r="AV320"/>
  <c r="B321"/>
  <c r="C321"/>
  <c r="AA321"/>
  <c r="AB321"/>
  <c r="AC321"/>
  <c r="AE321"/>
  <c r="AM321"/>
  <c r="AV321"/>
  <c r="B322"/>
  <c r="C322"/>
  <c r="AA322"/>
  <c r="AB322"/>
  <c r="AC322"/>
  <c r="AE322"/>
  <c r="AM322"/>
  <c r="AV322"/>
  <c r="B323"/>
  <c r="C323"/>
  <c r="AA323"/>
  <c r="AB323"/>
  <c r="AC323"/>
  <c r="AE323"/>
  <c r="AM323"/>
  <c r="AV323"/>
  <c r="B324"/>
  <c r="C324"/>
  <c r="AA324"/>
  <c r="AB324"/>
  <c r="AC324"/>
  <c r="AE324"/>
  <c r="AM324"/>
  <c r="AV324"/>
  <c r="B325"/>
  <c r="C325"/>
  <c r="AA325"/>
  <c r="AB325"/>
  <c r="AC325"/>
  <c r="AE325"/>
  <c r="AM325"/>
  <c r="AV325"/>
  <c r="B326"/>
  <c r="C326"/>
  <c r="AA326"/>
  <c r="AB326"/>
  <c r="AC326"/>
  <c r="AE326"/>
  <c r="AM326"/>
  <c r="AV326"/>
  <c r="B327"/>
  <c r="C327"/>
  <c r="AA327"/>
  <c r="AB327"/>
  <c r="AC327"/>
  <c r="AE327"/>
  <c r="AM327"/>
  <c r="AV327"/>
  <c r="B328"/>
  <c r="C328"/>
  <c r="AA328"/>
  <c r="AB328"/>
  <c r="AC328"/>
  <c r="AE328"/>
  <c r="AM328"/>
  <c r="AV328"/>
  <c r="B329"/>
  <c r="C329"/>
  <c r="AA329"/>
  <c r="AB329"/>
  <c r="AC329"/>
  <c r="AE329"/>
  <c r="AM329"/>
  <c r="AV329"/>
  <c r="B330"/>
  <c r="C330"/>
  <c r="AA330"/>
  <c r="AB330"/>
  <c r="AC330"/>
  <c r="AE330"/>
  <c r="AM330"/>
  <c r="AV330"/>
  <c r="B331"/>
  <c r="C331"/>
  <c r="AA331"/>
  <c r="AB331"/>
  <c r="AC331"/>
  <c r="AE331"/>
  <c r="AM331"/>
  <c r="AV331"/>
  <c r="B332"/>
  <c r="C332"/>
  <c r="AA332"/>
  <c r="AB332"/>
  <c r="AC332"/>
  <c r="AE332"/>
  <c r="AM332"/>
  <c r="AV332"/>
  <c r="B333"/>
  <c r="C333"/>
  <c r="AA333"/>
  <c r="AB333"/>
  <c r="AC333"/>
  <c r="AE333"/>
  <c r="AM333"/>
  <c r="AV333"/>
  <c r="B334"/>
  <c r="C334"/>
  <c r="AA334"/>
  <c r="AB334"/>
  <c r="AC334"/>
  <c r="AE334"/>
  <c r="AM334"/>
  <c r="AV334"/>
  <c r="B335"/>
  <c r="C335"/>
  <c r="AA335"/>
  <c r="AB335"/>
  <c r="AC335"/>
  <c r="AE335"/>
  <c r="AM335"/>
  <c r="AV335"/>
  <c r="B336"/>
  <c r="C336"/>
  <c r="AA336"/>
  <c r="AB336"/>
  <c r="AC336"/>
  <c r="AE336"/>
  <c r="AM336"/>
  <c r="AV336"/>
  <c r="B337"/>
  <c r="C337"/>
  <c r="AA337"/>
  <c r="AB337"/>
  <c r="AC337"/>
  <c r="AE337"/>
  <c r="AM337"/>
  <c r="AV337"/>
  <c r="B338"/>
  <c r="C338"/>
  <c r="AA338"/>
  <c r="AB338"/>
  <c r="AC338"/>
  <c r="AE338"/>
  <c r="AM338"/>
  <c r="AV338"/>
  <c r="B339"/>
  <c r="C339"/>
  <c r="AA339"/>
  <c r="AB339"/>
  <c r="AC339"/>
  <c r="AE339"/>
  <c r="AM339"/>
  <c r="AV339"/>
  <c r="B340"/>
  <c r="C340"/>
  <c r="AA340"/>
  <c r="AB340"/>
  <c r="AC340"/>
  <c r="AE340"/>
  <c r="AM340"/>
  <c r="AV340"/>
  <c r="B341"/>
  <c r="C341"/>
  <c r="AA341"/>
  <c r="AB341"/>
  <c r="AC341"/>
  <c r="AE341"/>
  <c r="AM341"/>
  <c r="AV341"/>
  <c r="B342"/>
  <c r="C342"/>
  <c r="AA342"/>
  <c r="AB342"/>
  <c r="AC342"/>
  <c r="AE342"/>
  <c r="AM342"/>
  <c r="AV342"/>
  <c r="B343"/>
  <c r="C343"/>
  <c r="AA343"/>
  <c r="AB343"/>
  <c r="AC343"/>
  <c r="AE343"/>
  <c r="AM343"/>
  <c r="AV343"/>
  <c r="B344"/>
  <c r="C344"/>
  <c r="AA344"/>
  <c r="AB344"/>
  <c r="AC344"/>
  <c r="AE344"/>
  <c r="AM344"/>
  <c r="AV344"/>
  <c r="B345"/>
  <c r="C345"/>
  <c r="AA345"/>
  <c r="AB345"/>
  <c r="AC345"/>
  <c r="AE345"/>
  <c r="AM345"/>
  <c r="AV345"/>
  <c r="B346"/>
  <c r="C346"/>
  <c r="AA346"/>
  <c r="AB346"/>
  <c r="AC346"/>
  <c r="AE346"/>
  <c r="AM346"/>
  <c r="AV346"/>
  <c r="B347"/>
  <c r="C347"/>
  <c r="AA347"/>
  <c r="AB347"/>
  <c r="AC347"/>
  <c r="AE347"/>
  <c r="AM347"/>
  <c r="AV347"/>
  <c r="B348"/>
  <c r="C348"/>
  <c r="AA348"/>
  <c r="AB348"/>
  <c r="AC348"/>
  <c r="AE348"/>
  <c r="AM348"/>
  <c r="AV348"/>
  <c r="B349"/>
  <c r="C349"/>
  <c r="AA349"/>
  <c r="AB349"/>
  <c r="AC349"/>
  <c r="AE349"/>
  <c r="AM349"/>
  <c r="AV349"/>
  <c r="B350"/>
  <c r="C350"/>
  <c r="AA350"/>
  <c r="AB350"/>
  <c r="AC350"/>
  <c r="AE350"/>
  <c r="AM350"/>
  <c r="AV350"/>
  <c r="B351"/>
  <c r="C351"/>
  <c r="AA351"/>
  <c r="AB351"/>
  <c r="AC351"/>
  <c r="AE351"/>
  <c r="AM351"/>
  <c r="AV351"/>
  <c r="B352"/>
  <c r="C352"/>
  <c r="AA352"/>
  <c r="AB352"/>
  <c r="AC352"/>
  <c r="AE352"/>
  <c r="AM352"/>
  <c r="AV352"/>
  <c r="B353"/>
  <c r="C353"/>
  <c r="AA353"/>
  <c r="AB353"/>
  <c r="AC353"/>
  <c r="AE353"/>
  <c r="AM353"/>
  <c r="AV353"/>
  <c r="B354"/>
  <c r="C354"/>
  <c r="AA354"/>
  <c r="AB354"/>
  <c r="AC354"/>
  <c r="AE354"/>
  <c r="AM354"/>
  <c r="AV354"/>
  <c r="B355"/>
  <c r="C355"/>
  <c r="AA355"/>
  <c r="AB355"/>
  <c r="AC355"/>
  <c r="AE355"/>
  <c r="AM355"/>
  <c r="AV355"/>
  <c r="B356"/>
  <c r="C356"/>
  <c r="AA356"/>
  <c r="AB356"/>
  <c r="AC356"/>
  <c r="AE356"/>
  <c r="AM356"/>
  <c r="AV356"/>
  <c r="B357"/>
  <c r="C357"/>
  <c r="AA357"/>
  <c r="AB357"/>
  <c r="AC357"/>
  <c r="AE357"/>
  <c r="AM357"/>
  <c r="AV357"/>
  <c r="B358"/>
  <c r="C358"/>
  <c r="AA358"/>
  <c r="AB358"/>
  <c r="AC358"/>
  <c r="AE358"/>
  <c r="AM358"/>
  <c r="AV358"/>
  <c r="B359"/>
  <c r="C359"/>
  <c r="AA359"/>
  <c r="AB359"/>
  <c r="AC359"/>
  <c r="AE359"/>
  <c r="AM359"/>
  <c r="AV359"/>
  <c r="B360"/>
  <c r="C360"/>
  <c r="AA360"/>
  <c r="AB360"/>
  <c r="AC360"/>
  <c r="AE360"/>
  <c r="AM360"/>
  <c r="AV360"/>
  <c r="B361"/>
  <c r="C361"/>
  <c r="AA361"/>
  <c r="AB361"/>
  <c r="AC361"/>
  <c r="AE361"/>
  <c r="AM361"/>
  <c r="AV361"/>
  <c r="B362"/>
  <c r="C362"/>
  <c r="AA362"/>
  <c r="AB362"/>
  <c r="AC362"/>
  <c r="AE362"/>
  <c r="AM362"/>
  <c r="AV362"/>
  <c r="B363"/>
  <c r="C363"/>
  <c r="AA363"/>
  <c r="AB363"/>
  <c r="AC363"/>
  <c r="AE363"/>
  <c r="AM363"/>
  <c r="AV363"/>
  <c r="B364"/>
  <c r="C364"/>
  <c r="AA364"/>
  <c r="AB364"/>
  <c r="AC364"/>
  <c r="AE364"/>
  <c r="AM364"/>
  <c r="AV364"/>
  <c r="B365"/>
  <c r="C365"/>
  <c r="AA365"/>
  <c r="AB365"/>
  <c r="AC365"/>
  <c r="AE365"/>
  <c r="AM365"/>
  <c r="AV365"/>
  <c r="B366"/>
  <c r="C366"/>
  <c r="AA366"/>
  <c r="AB366"/>
  <c r="AC366"/>
  <c r="AE366"/>
  <c r="AM366"/>
  <c r="AV366"/>
  <c r="B367"/>
  <c r="C367"/>
  <c r="AA367"/>
  <c r="AB367"/>
  <c r="AC367"/>
  <c r="AE367"/>
  <c r="AM367"/>
  <c r="AV367"/>
  <c r="B368"/>
  <c r="C368"/>
  <c r="AA368"/>
  <c r="AB368"/>
  <c r="AC368"/>
  <c r="AE368"/>
  <c r="AM368"/>
  <c r="AV368"/>
  <c r="B369"/>
  <c r="C369"/>
  <c r="AA369"/>
  <c r="AB369"/>
  <c r="AC369"/>
  <c r="AE369"/>
  <c r="AM369"/>
  <c r="AV369"/>
  <c r="B370"/>
  <c r="C370"/>
  <c r="AA370"/>
  <c r="AB370"/>
  <c r="AC370"/>
  <c r="AE370"/>
  <c r="AM370"/>
  <c r="AV370"/>
  <c r="B371"/>
  <c r="C371"/>
  <c r="AA371"/>
  <c r="AB371"/>
  <c r="AC371"/>
  <c r="AE371"/>
  <c r="AM371"/>
  <c r="AV371"/>
  <c r="B372"/>
  <c r="C372"/>
  <c r="AA372"/>
  <c r="AB372"/>
  <c r="AC372"/>
  <c r="AE372"/>
  <c r="AM372"/>
  <c r="AV372"/>
  <c r="B373"/>
  <c r="C373"/>
  <c r="AA373"/>
  <c r="AB373"/>
  <c r="AC373"/>
  <c r="AE373"/>
  <c r="AM373"/>
  <c r="AV373"/>
  <c r="B374"/>
  <c r="C374"/>
  <c r="AA374"/>
  <c r="AB374"/>
  <c r="AC374"/>
  <c r="AE374"/>
  <c r="AM374"/>
  <c r="AV374"/>
  <c r="B375"/>
  <c r="C375"/>
  <c r="AA375"/>
  <c r="AB375"/>
  <c r="AC375"/>
  <c r="AE375"/>
  <c r="AM375"/>
  <c r="AV375"/>
  <c r="B376"/>
  <c r="C376"/>
  <c r="AA376"/>
  <c r="AB376"/>
  <c r="AC376"/>
  <c r="AE376"/>
  <c r="AM376"/>
  <c r="AV376"/>
  <c r="B377"/>
  <c r="C377"/>
  <c r="AA377"/>
  <c r="AB377"/>
  <c r="AC377"/>
  <c r="AE377"/>
  <c r="AM377"/>
  <c r="AV377"/>
  <c r="B378"/>
  <c r="C378"/>
  <c r="AA378"/>
  <c r="AB378"/>
  <c r="AC378"/>
  <c r="AE378"/>
  <c r="AM378"/>
  <c r="AV378"/>
  <c r="B379"/>
  <c r="C379"/>
  <c r="AA379"/>
  <c r="AB379"/>
  <c r="AC379"/>
  <c r="AE379"/>
  <c r="AM379"/>
  <c r="AV379"/>
  <c r="B380"/>
  <c r="C380"/>
  <c r="AA380"/>
  <c r="AB380"/>
  <c r="AC380"/>
  <c r="AE380"/>
  <c r="AM380"/>
  <c r="AV380"/>
  <c r="B381"/>
  <c r="C381"/>
  <c r="AA381"/>
  <c r="AB381"/>
  <c r="AC381"/>
  <c r="AE381"/>
  <c r="AM381"/>
  <c r="AV381"/>
  <c r="B382"/>
  <c r="C382"/>
  <c r="AA382"/>
  <c r="AB382"/>
  <c r="AC382"/>
  <c r="AE382"/>
  <c r="AM382"/>
  <c r="AV382"/>
  <c r="B383"/>
  <c r="C383"/>
  <c r="AA383"/>
  <c r="AB383"/>
  <c r="AC383"/>
  <c r="AE383"/>
  <c r="AM383"/>
  <c r="AV383"/>
  <c r="B384"/>
  <c r="C384"/>
  <c r="AA384"/>
  <c r="AB384"/>
  <c r="AC384"/>
  <c r="AE384"/>
  <c r="AM384"/>
  <c r="AV384"/>
  <c r="B385"/>
  <c r="C385"/>
  <c r="AA385"/>
  <c r="AB385"/>
  <c r="AC385"/>
  <c r="AE385"/>
  <c r="AM385"/>
  <c r="AV385"/>
  <c r="B386"/>
  <c r="C386"/>
  <c r="AA386"/>
  <c r="AB386"/>
  <c r="AC386"/>
  <c r="AE386"/>
  <c r="AM386"/>
  <c r="AV386"/>
  <c r="B387"/>
  <c r="C387"/>
  <c r="AA387"/>
  <c r="AB387"/>
  <c r="AC387"/>
  <c r="AE387"/>
  <c r="AM387"/>
  <c r="AV387"/>
  <c r="B388"/>
  <c r="C388"/>
  <c r="AA388"/>
  <c r="AB388"/>
  <c r="AC388"/>
  <c r="AE388"/>
  <c r="AM388"/>
  <c r="AV388"/>
  <c r="B389"/>
  <c r="C389"/>
  <c r="AA389"/>
  <c r="AB389"/>
  <c r="AC389"/>
  <c r="AE389"/>
  <c r="AM389"/>
  <c r="AV389"/>
  <c r="B390"/>
  <c r="C390"/>
  <c r="AA390"/>
  <c r="AB390"/>
  <c r="AC390"/>
  <c r="AE390"/>
  <c r="AM390"/>
  <c r="AV390"/>
  <c r="B391"/>
  <c r="C391"/>
  <c r="AA391"/>
  <c r="AB391"/>
  <c r="AC391"/>
  <c r="AE391"/>
  <c r="AM391"/>
  <c r="AV391"/>
  <c r="B392"/>
  <c r="C392"/>
  <c r="AA392"/>
  <c r="AB392"/>
  <c r="AC392"/>
  <c r="AE392"/>
  <c r="AM392"/>
  <c r="AV392"/>
  <c r="B393"/>
  <c r="C393"/>
  <c r="AA393"/>
  <c r="AB393"/>
  <c r="AC393"/>
  <c r="AE393"/>
  <c r="AM393"/>
  <c r="AV393"/>
  <c r="B394"/>
  <c r="C394"/>
  <c r="AA394"/>
  <c r="AB394"/>
  <c r="AC394"/>
  <c r="AE394"/>
  <c r="AM394"/>
  <c r="AV394"/>
  <c r="B395"/>
  <c r="C395"/>
  <c r="AA395"/>
  <c r="AB395"/>
  <c r="AC395"/>
  <c r="AE395"/>
  <c r="AM395"/>
  <c r="AV395"/>
  <c r="B396"/>
  <c r="C396"/>
  <c r="AA396"/>
  <c r="AB396"/>
  <c r="AC396"/>
  <c r="AE396"/>
  <c r="AM396"/>
  <c r="AV396"/>
  <c r="B397"/>
  <c r="C397"/>
  <c r="AA397"/>
  <c r="AB397"/>
  <c r="AC397"/>
  <c r="AE397"/>
  <c r="AM397"/>
  <c r="AV397"/>
  <c r="B398"/>
  <c r="C398"/>
  <c r="AA398"/>
  <c r="AB398"/>
  <c r="AC398"/>
  <c r="AE398"/>
  <c r="AM398"/>
  <c r="AV398"/>
  <c r="B399"/>
  <c r="C399"/>
  <c r="AA399"/>
  <c r="AB399"/>
  <c r="AC399"/>
  <c r="AE399"/>
  <c r="AM399"/>
  <c r="AV399"/>
  <c r="B400"/>
  <c r="C400"/>
  <c r="AA400"/>
  <c r="AB400"/>
  <c r="AC400"/>
  <c r="AE400"/>
  <c r="AM400"/>
  <c r="AV400"/>
  <c r="B401"/>
  <c r="C401"/>
  <c r="AA401"/>
  <c r="AB401"/>
  <c r="AC401"/>
  <c r="AE401"/>
  <c r="AM401"/>
  <c r="AV401"/>
  <c r="B402"/>
  <c r="C402"/>
  <c r="AA402"/>
  <c r="AB402"/>
  <c r="AC402"/>
  <c r="AE402"/>
  <c r="AM402"/>
  <c r="AV402"/>
  <c r="B403"/>
  <c r="C403"/>
  <c r="AA403"/>
  <c r="AB403"/>
  <c r="AC403"/>
  <c r="AE403"/>
  <c r="AM403"/>
  <c r="AV403"/>
  <c r="B404"/>
  <c r="C404"/>
  <c r="AA404"/>
  <c r="AB404"/>
  <c r="AC404"/>
  <c r="AE404"/>
  <c r="AM404"/>
  <c r="AV404"/>
  <c r="B405"/>
  <c r="C405"/>
  <c r="AA405"/>
  <c r="AB405"/>
  <c r="AC405"/>
  <c r="AE405"/>
  <c r="AM405"/>
  <c r="AV405"/>
  <c r="B406"/>
  <c r="C406"/>
  <c r="AA406"/>
  <c r="AB406"/>
  <c r="AC406"/>
  <c r="AE406"/>
  <c r="AM406"/>
  <c r="AV406"/>
  <c r="B407"/>
  <c r="C407"/>
  <c r="AA407"/>
  <c r="AB407"/>
  <c r="AC407"/>
  <c r="AE407"/>
  <c r="AM407"/>
  <c r="AV407"/>
  <c r="B408"/>
  <c r="C408"/>
  <c r="AA408"/>
  <c r="AB408"/>
  <c r="AC408"/>
  <c r="AE408"/>
  <c r="AM408"/>
  <c r="AV408"/>
  <c r="B409"/>
  <c r="C409"/>
  <c r="AA409"/>
  <c r="AB409"/>
  <c r="AC409"/>
  <c r="AE409"/>
  <c r="AM409"/>
  <c r="AV409"/>
  <c r="B410"/>
  <c r="C410"/>
  <c r="AA410"/>
  <c r="AB410"/>
  <c r="AC410"/>
  <c r="AE410"/>
  <c r="AM410"/>
  <c r="AV410"/>
  <c r="B411"/>
  <c r="C411"/>
  <c r="AA411"/>
  <c r="AB411"/>
  <c r="AC411"/>
  <c r="AE411"/>
  <c r="AM411"/>
  <c r="AV411"/>
  <c r="B412"/>
  <c r="C412"/>
  <c r="AA412"/>
  <c r="AB412"/>
  <c r="AC412"/>
  <c r="AE412"/>
  <c r="AM412"/>
  <c r="AV412"/>
  <c r="B413"/>
  <c r="C413"/>
  <c r="AA413"/>
  <c r="AB413"/>
  <c r="AC413"/>
  <c r="AE413"/>
  <c r="AM413"/>
  <c r="AV413"/>
  <c r="B414"/>
  <c r="C414"/>
  <c r="AA414"/>
  <c r="AB414"/>
  <c r="AC414"/>
  <c r="AE414"/>
  <c r="AM414"/>
  <c r="AV414"/>
  <c r="B415"/>
  <c r="C415"/>
  <c r="AA415"/>
  <c r="AB415"/>
  <c r="AC415"/>
  <c r="AE415"/>
  <c r="AM415"/>
  <c r="AV415"/>
  <c r="B416"/>
  <c r="C416"/>
  <c r="AA416"/>
  <c r="AB416"/>
  <c r="AC416"/>
  <c r="AE416"/>
  <c r="AM416"/>
  <c r="AV416"/>
  <c r="B417"/>
  <c r="C417"/>
  <c r="AA417"/>
  <c r="AB417"/>
  <c r="AC417"/>
  <c r="AE417"/>
  <c r="AM417"/>
  <c r="AV417"/>
  <c r="B418"/>
  <c r="C418"/>
  <c r="AA418"/>
  <c r="AB418"/>
  <c r="AC418"/>
  <c r="AE418"/>
  <c r="AM418"/>
  <c r="AV418"/>
  <c r="B419"/>
  <c r="C419"/>
  <c r="AA419"/>
  <c r="AB419"/>
  <c r="AC419"/>
  <c r="AE419"/>
  <c r="AM419"/>
  <c r="AV419"/>
  <c r="B420"/>
  <c r="C420"/>
  <c r="AA420"/>
  <c r="AB420"/>
  <c r="AC420"/>
  <c r="AE420"/>
  <c r="AM420"/>
  <c r="AV420"/>
  <c r="B421"/>
  <c r="C421"/>
  <c r="AA421"/>
  <c r="AB421"/>
  <c r="AC421"/>
  <c r="AE421"/>
  <c r="AM421"/>
  <c r="AV421"/>
  <c r="B422"/>
  <c r="C422"/>
  <c r="AA422"/>
  <c r="AB422"/>
  <c r="AC422"/>
  <c r="AE422"/>
  <c r="AM422"/>
  <c r="AV422"/>
  <c r="B423"/>
  <c r="C423"/>
  <c r="AA423"/>
  <c r="AB423"/>
  <c r="AC423"/>
  <c r="AE423"/>
  <c r="AM423"/>
  <c r="AV423"/>
  <c r="B425"/>
  <c r="C425"/>
  <c r="AA425"/>
  <c r="AB425"/>
  <c r="AC425"/>
  <c r="AE425"/>
  <c r="AM425"/>
  <c r="AV425"/>
  <c r="B429"/>
  <c r="C429"/>
  <c r="AA429"/>
  <c r="AB429"/>
  <c r="AC429"/>
  <c r="AE429"/>
  <c r="AM429"/>
  <c r="AV429"/>
  <c r="B435"/>
  <c r="C435"/>
  <c r="AA435"/>
  <c r="AB435"/>
  <c r="AC435"/>
  <c r="AE435"/>
  <c r="AM435"/>
  <c r="AV435"/>
  <c r="B427"/>
  <c r="C427"/>
  <c r="AA427"/>
  <c r="AB427"/>
  <c r="AC427"/>
  <c r="AE427"/>
  <c r="AM427"/>
  <c r="AV427"/>
  <c r="C2" i="1"/>
  <c r="C3"/>
  <c r="AI2" i="15" l="1"/>
  <c r="AD173"/>
  <c r="AD443"/>
  <c r="AD444"/>
  <c r="AD442"/>
  <c r="AD332"/>
  <c r="AD324"/>
  <c r="AD22"/>
  <c r="AD348"/>
  <c r="AD342"/>
  <c r="AD336"/>
  <c r="AD328"/>
  <c r="AD179"/>
  <c r="AD32"/>
  <c r="AD426"/>
  <c r="AD432"/>
  <c r="AD434"/>
  <c r="AD424"/>
  <c r="AD428"/>
  <c r="AD39"/>
  <c r="AD441"/>
  <c r="AD430"/>
  <c r="AD40"/>
  <c r="AD34"/>
  <c r="AD23"/>
  <c r="AD203"/>
  <c r="AD56"/>
  <c r="AD129"/>
  <c r="AD115"/>
  <c r="AD57"/>
  <c r="AD10"/>
  <c r="AD344"/>
  <c r="AD322"/>
  <c r="AD260"/>
  <c r="AD197"/>
  <c r="AD190"/>
  <c r="AD63"/>
  <c r="AD54"/>
  <c r="AD51"/>
  <c r="AD35"/>
  <c r="AD345"/>
  <c r="AD196"/>
  <c r="AD193"/>
  <c r="AD155"/>
  <c r="AD113"/>
  <c r="AD107"/>
  <c r="AD73"/>
  <c r="AD65"/>
  <c r="AD47"/>
  <c r="AD36"/>
  <c r="AD29"/>
  <c r="AD25"/>
  <c r="AD24"/>
  <c r="AD9"/>
  <c r="AD2"/>
  <c r="AD436"/>
  <c r="AD438"/>
  <c r="AD440"/>
  <c r="AD437"/>
  <c r="AD439"/>
  <c r="AD433"/>
  <c r="AD431"/>
  <c r="AD395"/>
  <c r="AD393"/>
  <c r="AD387"/>
  <c r="AD379"/>
  <c r="AD369"/>
  <c r="AD364"/>
  <c r="AD361"/>
  <c r="AD360"/>
  <c r="AD355"/>
  <c r="AD349"/>
  <c r="AD347"/>
  <c r="AD346"/>
  <c r="AD338"/>
  <c r="AD331"/>
  <c r="AD327"/>
  <c r="AD326"/>
  <c r="AD325"/>
  <c r="AD323"/>
  <c r="AD248"/>
  <c r="AD244"/>
  <c r="AD233"/>
  <c r="AD224"/>
  <c r="AD212"/>
  <c r="AD207"/>
  <c r="AD205"/>
  <c r="AD202"/>
  <c r="AD200"/>
  <c r="AD194"/>
  <c r="AD191"/>
  <c r="AD186"/>
  <c r="AD170"/>
  <c r="AD166"/>
  <c r="AD164"/>
  <c r="AD160"/>
  <c r="AD157"/>
  <c r="AD156"/>
  <c r="AD136"/>
  <c r="AD134"/>
  <c r="AD132"/>
  <c r="AD131"/>
  <c r="AD127"/>
  <c r="AD124"/>
  <c r="AD118"/>
  <c r="AD116"/>
  <c r="AD110"/>
  <c r="AD108"/>
  <c r="AD102"/>
  <c r="AD92"/>
  <c r="AD90"/>
  <c r="AD89"/>
  <c r="AD87"/>
  <c r="AD85"/>
  <c r="AD83"/>
  <c r="AD80"/>
  <c r="AD79"/>
  <c r="AD76"/>
  <c r="AD75"/>
  <c r="AD74"/>
  <c r="AD69"/>
  <c r="AD66"/>
  <c r="AD64"/>
  <c r="AD62"/>
  <c r="AD59"/>
  <c r="AD257"/>
  <c r="AD175"/>
  <c r="AD94"/>
  <c r="AD429"/>
  <c r="AD423"/>
  <c r="AD421"/>
  <c r="AD417"/>
  <c r="AD415"/>
  <c r="AD401"/>
  <c r="AD399"/>
  <c r="AD394"/>
  <c r="AD392"/>
  <c r="AD382"/>
  <c r="AD378"/>
  <c r="AD374"/>
  <c r="AD312"/>
  <c r="AD308"/>
  <c r="AD307"/>
  <c r="AD304"/>
  <c r="AD303"/>
  <c r="AD302"/>
  <c r="AD297"/>
  <c r="AD288"/>
  <c r="AD285"/>
  <c r="AD277"/>
  <c r="AD274"/>
  <c r="AD268"/>
  <c r="AD264"/>
  <c r="AD261"/>
  <c r="AD254"/>
  <c r="AD245"/>
  <c r="AD217"/>
  <c r="AD211"/>
  <c r="AD176"/>
  <c r="AD49"/>
  <c r="AD44"/>
  <c r="AD43"/>
  <c r="AD37"/>
  <c r="AD33"/>
  <c r="AD414"/>
  <c r="AD412"/>
  <c r="AD410"/>
  <c r="AD408"/>
  <c r="AD405"/>
  <c r="AD398"/>
  <c r="AD396"/>
  <c r="AD389"/>
  <c r="AD388"/>
  <c r="AD383"/>
  <c r="AD380"/>
  <c r="AD373"/>
  <c r="AD372"/>
  <c r="AD371"/>
  <c r="AD370"/>
  <c r="AD365"/>
  <c r="AD352"/>
  <c r="AD333"/>
  <c r="AD318"/>
  <c r="AD317"/>
  <c r="AD315"/>
  <c r="AD314"/>
  <c r="AD313"/>
  <c r="AD300"/>
  <c r="AD292"/>
  <c r="AD290"/>
  <c r="AD286"/>
  <c r="AD278"/>
  <c r="AD273"/>
  <c r="AD266"/>
  <c r="AD252"/>
  <c r="AD249"/>
  <c r="AD246"/>
  <c r="AD242"/>
  <c r="AD238"/>
  <c r="AD237"/>
  <c r="AD232"/>
  <c r="AD221"/>
  <c r="AD219"/>
  <c r="AD218"/>
  <c r="AD215"/>
  <c r="AD208"/>
  <c r="AD182"/>
  <c r="AD178"/>
  <c r="AD177"/>
  <c r="AD171"/>
  <c r="AD167"/>
  <c r="AD163"/>
  <c r="AD149"/>
  <c r="AD147"/>
  <c r="AD146"/>
  <c r="AD141"/>
  <c r="AD98"/>
  <c r="AD97"/>
  <c r="AD93"/>
  <c r="AD402"/>
  <c r="AD28"/>
  <c r="AD27"/>
  <c r="AD20"/>
  <c r="AD16"/>
  <c r="AD386"/>
  <c r="AD385"/>
  <c r="AD375"/>
  <c r="AD368"/>
  <c r="AD358"/>
  <c r="AD357"/>
  <c r="AD354"/>
  <c r="AD353"/>
  <c r="AD350"/>
  <c r="AD340"/>
  <c r="AD339"/>
  <c r="AD334"/>
  <c r="AD321"/>
  <c r="AD320"/>
  <c r="AD319"/>
  <c r="AD316"/>
  <c r="AD311"/>
  <c r="AD310"/>
  <c r="AD309"/>
  <c r="AD305"/>
  <c r="AD301"/>
  <c r="AD298"/>
  <c r="AD294"/>
  <c r="AD293"/>
  <c r="AD291"/>
  <c r="AD289"/>
  <c r="AD287"/>
  <c r="AD283"/>
  <c r="AD281"/>
  <c r="AD271"/>
  <c r="AD270"/>
  <c r="AD255"/>
  <c r="AD253"/>
  <c r="AD243"/>
  <c r="AD241"/>
  <c r="AD240"/>
  <c r="AD235"/>
  <c r="AD234"/>
  <c r="AD230"/>
  <c r="AD228"/>
  <c r="AD225"/>
  <c r="AD222"/>
  <c r="AD214"/>
  <c r="AD209"/>
  <c r="AD198"/>
  <c r="AD195"/>
  <c r="AD189"/>
  <c r="AD188"/>
  <c r="AD185"/>
  <c r="AD183"/>
  <c r="AD180"/>
  <c r="AD172"/>
  <c r="AD168"/>
  <c r="AD161"/>
  <c r="AD159"/>
  <c r="AD152"/>
  <c r="AD151"/>
  <c r="AD144"/>
  <c r="AD142"/>
  <c r="AD140"/>
  <c r="AD139"/>
  <c r="AD137"/>
  <c r="AD135"/>
  <c r="AD133"/>
  <c r="AD130"/>
  <c r="AD125"/>
  <c r="AD123"/>
  <c r="AD122"/>
  <c r="AD120"/>
  <c r="AD117"/>
  <c r="AD111"/>
  <c r="AD105"/>
  <c r="AD104"/>
  <c r="AD101"/>
  <c r="AD100"/>
  <c r="AD99"/>
  <c r="AD95"/>
  <c r="AD41"/>
  <c r="AD30"/>
  <c r="AD18"/>
  <c r="AD17"/>
  <c r="AD14"/>
  <c r="AD13"/>
  <c r="AD81"/>
  <c r="AD77"/>
  <c r="AD72"/>
  <c r="AD71"/>
  <c r="AD70"/>
  <c r="AD67"/>
  <c r="AD3"/>
  <c r="AD435"/>
  <c r="AD425"/>
  <c r="AD422"/>
  <c r="AD420"/>
  <c r="AD418"/>
  <c r="AD416"/>
  <c r="AD413"/>
  <c r="AD411"/>
  <c r="AD409"/>
  <c r="AD407"/>
  <c r="AD406"/>
  <c r="AD404"/>
  <c r="AD400"/>
  <c r="AD397"/>
  <c r="AD391"/>
  <c r="AD390"/>
  <c r="AD384"/>
  <c r="AD381"/>
  <c r="AD377"/>
  <c r="AD376"/>
  <c r="AD367"/>
  <c r="AD366"/>
  <c r="AD363"/>
  <c r="AD362"/>
  <c r="AD359"/>
  <c r="AD356"/>
  <c r="AD351"/>
  <c r="AD343"/>
  <c r="AD341"/>
  <c r="AD337"/>
  <c r="AD335"/>
  <c r="AD330"/>
  <c r="AD329"/>
  <c r="AD427"/>
  <c r="AD419"/>
  <c r="AD403"/>
  <c r="AD251"/>
  <c r="AD250"/>
  <c r="AD247"/>
  <c r="AD239"/>
  <c r="AD236"/>
  <c r="AD231"/>
  <c r="AD229"/>
  <c r="AD227"/>
  <c r="AD226"/>
  <c r="AD223"/>
  <c r="AD220"/>
  <c r="AD216"/>
  <c r="AD213"/>
  <c r="AD210"/>
  <c r="AD204"/>
  <c r="AD192"/>
  <c r="AD187"/>
  <c r="AD184"/>
  <c r="AD181"/>
  <c r="AD174"/>
  <c r="AD169"/>
  <c r="AD165"/>
  <c r="AD162"/>
  <c r="AD158"/>
  <c r="AD154"/>
  <c r="AD153"/>
  <c r="AD150"/>
  <c r="AD148"/>
  <c r="AD145"/>
  <c r="AD143"/>
  <c r="AD138"/>
  <c r="AD96"/>
  <c r="AD91"/>
  <c r="AD88"/>
  <c r="AD86"/>
  <c r="AD306"/>
  <c r="AD299"/>
  <c r="AD296"/>
  <c r="AD295"/>
  <c r="AD284"/>
  <c r="AD282"/>
  <c r="AD280"/>
  <c r="AD279"/>
  <c r="AD276"/>
  <c r="AD275"/>
  <c r="AD272"/>
  <c r="AD269"/>
  <c r="AD267"/>
  <c r="AD265"/>
  <c r="AD263"/>
  <c r="AD262"/>
  <c r="AD259"/>
  <c r="AD258"/>
  <c r="AD256"/>
  <c r="AD128"/>
  <c r="AD126"/>
  <c r="AD121"/>
  <c r="AD119"/>
  <c r="AD114"/>
  <c r="AD112"/>
  <c r="AD109"/>
  <c r="AD106"/>
  <c r="AD103"/>
  <c r="AD26"/>
  <c r="AD12"/>
  <c r="AD8"/>
  <c r="AD7"/>
  <c r="AD84"/>
  <c r="AD82"/>
  <c r="AD78"/>
  <c r="AD68"/>
  <c r="AD61"/>
  <c r="AD60"/>
  <c r="AD58"/>
  <c r="AD55"/>
  <c r="AD53"/>
  <c r="AD52"/>
  <c r="AD50"/>
  <c r="AD48"/>
  <c r="AD46"/>
  <c r="AD42"/>
  <c r="AD38"/>
  <c r="AD31"/>
  <c r="AD21"/>
  <c r="AD19"/>
  <c r="AD15"/>
  <c r="AD11"/>
  <c r="AD206"/>
  <c r="AD201"/>
  <c r="AD199"/>
  <c r="AI227"/>
  <c r="AI229"/>
  <c r="AI228"/>
</calcChain>
</file>

<file path=xl/comments1.xml><?xml version="1.0" encoding="utf-8"?>
<comments xmlns="http://schemas.openxmlformats.org/spreadsheetml/2006/main">
  <authors>
    <author>ephraimb</author>
  </authors>
  <commentList>
    <comment ref="AM182" authorId="0">
      <text>
        <r>
          <rPr>
            <b/>
            <sz val="8"/>
            <color indexed="81"/>
            <rFont val="Tahoma"/>
            <family val="2"/>
          </rPr>
          <t>ephraimb: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<sst xmlns="http://schemas.openxmlformats.org/spreadsheetml/2006/main" count="8811" uniqueCount="1053">
  <si>
    <t>Route(s) Starting With:</t>
  </si>
  <si>
    <t>Enter Start Date:</t>
  </si>
  <si>
    <t>Enter End Date:</t>
  </si>
  <si>
    <t>DATE</t>
  </si>
  <si>
    <t>Database Instance:</t>
  </si>
  <si>
    <t>XX</t>
  </si>
  <si>
    <t>Version</t>
  </si>
  <si>
    <t>6.6.29</t>
  </si>
  <si>
    <t>Notes</t>
  </si>
  <si>
    <t>1. Fixed the Daily Inj Well query for EKPSPP to not pull Permit Information</t>
  </si>
  <si>
    <t>Databases</t>
  </si>
  <si>
    <t>HOPSPP</t>
  </si>
  <si>
    <t>EKPSPP</t>
  </si>
  <si>
    <t>MOPSPP</t>
  </si>
  <si>
    <t>OF 23-15</t>
  </si>
  <si>
    <t>OF 604-11</t>
  </si>
  <si>
    <t>OF 708-11</t>
  </si>
  <si>
    <t>OF 797-08-19D</t>
  </si>
  <si>
    <t>OF 797-08-51D</t>
  </si>
  <si>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</si>
  <si>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</si>
  <si>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</si>
  <si>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</si>
  <si>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</si>
  <si>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</si>
  <si>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</si>
  <si>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</si>
  <si>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</si>
  <si>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</si>
  <si>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</si>
  <si>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</si>
  <si>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>FAX AREA CODE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</si>
  <si>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</si>
  <si>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</si>
  <si>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</si>
  <si>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</si>
  <si>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</si>
  <si>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</si>
  <si>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</si>
  <si>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</si>
  <si>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</si>
  <si>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</si>
  <si>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</si>
  <si>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</si>
  <si>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</si>
  <si>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</si>
  <si>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</si>
  <si>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</si>
  <si>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</si>
  <si>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</si>
  <si>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PROD</t>
  </si>
  <si>
    <t>GAS FLARED</t>
  </si>
  <si>
    <t>GAS USED</t>
  </si>
  <si>
    <t>GAS SHRINK</t>
  </si>
  <si>
    <t>GAS SOLD</t>
  </si>
  <si>
    <t>GAS BTU</t>
  </si>
  <si>
    <t>WATER PRO/INJ</t>
  </si>
  <si>
    <t>WATER DISP CODE</t>
  </si>
  <si>
    <t>SURF INJ PRES WTR TBG</t>
  </si>
  <si>
    <t>SURF INJ PRES CSG</t>
  </si>
  <si>
    <t>SURF INJ PRES GAS TBG</t>
  </si>
  <si>
    <t>SURF INJ PRES GAS CSG</t>
  </si>
  <si>
    <t>PRINT NAME</t>
  </si>
  <si>
    <t>SIGNED</t>
  </si>
  <si>
    <t>TITLE</t>
  </si>
  <si>
    <t>OXY USA WTP LP</t>
  </si>
  <si>
    <t>PO BOX 27570</t>
  </si>
  <si>
    <t>HOUSTON</t>
  </si>
  <si>
    <t>TEXAS</t>
  </si>
  <si>
    <t>77227-7570</t>
  </si>
  <si>
    <t>215-7309</t>
  </si>
  <si>
    <t>985-1893</t>
  </si>
  <si>
    <t>N</t>
  </si>
  <si>
    <t>SWSW</t>
  </si>
  <si>
    <t>6S</t>
  </si>
  <si>
    <t>97W</t>
  </si>
  <si>
    <t>BARBARA EPHRAIM</t>
  </si>
  <si>
    <t>Y</t>
  </si>
  <si>
    <t>PROD. ACCOUNTANT</t>
  </si>
  <si>
    <t>CASCADE CREEK 604-12-13</t>
  </si>
  <si>
    <t>WFCM</t>
  </si>
  <si>
    <t>LOT 16</t>
  </si>
  <si>
    <t>CASCADE CREEK 604-44</t>
  </si>
  <si>
    <t>WMFK</t>
  </si>
  <si>
    <t>NESE</t>
  </si>
  <si>
    <t>CASCADE CREEK 605-1</t>
  </si>
  <si>
    <t>SENW</t>
  </si>
  <si>
    <t>CASCADE CREEK 605-13-22</t>
  </si>
  <si>
    <t>NWSW</t>
  </si>
  <si>
    <t>CASCADE CREEK 605-2</t>
  </si>
  <si>
    <t>NWSE</t>
  </si>
  <si>
    <t>CASCADE CREEK 605-23</t>
  </si>
  <si>
    <t>NESW</t>
  </si>
  <si>
    <t>CASCADE CREEK 608-41</t>
  </si>
  <si>
    <t>NENE</t>
  </si>
  <si>
    <t>CASCADE CREEK 608-43-31</t>
  </si>
  <si>
    <t>CASCADE CREEK 609-14</t>
  </si>
  <si>
    <t>CASCADE CREEK 609-2</t>
  </si>
  <si>
    <t>CASCADE CREEK 609-33</t>
  </si>
  <si>
    <t>CASCADE CREEK 610-22-43</t>
  </si>
  <si>
    <t>CASCADE CREEK 610-24-43</t>
  </si>
  <si>
    <t>SESW</t>
  </si>
  <si>
    <t>CASCADE CREEK 616-21-32</t>
  </si>
  <si>
    <t>NENW</t>
  </si>
  <si>
    <t>CASCADE CREEK 617-24</t>
  </si>
  <si>
    <t>CASCADE CREEK 617-41</t>
  </si>
  <si>
    <t>CASCADE CREEK 620-1</t>
  </si>
  <si>
    <t>SWSE</t>
  </si>
  <si>
    <t>CASCADE CREEK 620-21</t>
  </si>
  <si>
    <t>CASCADE CREEK 620-24-43</t>
  </si>
  <si>
    <t>CASCADE CREEK 620-33</t>
  </si>
  <si>
    <t>CASCADE CREEK 620-43-32</t>
  </si>
  <si>
    <t>CASCADE CREEK 629-2</t>
  </si>
  <si>
    <t>CASCADE CREEK 629-23-42</t>
  </si>
  <si>
    <t>CASCADE CREEK 629-31-11</t>
  </si>
  <si>
    <t>NWNE</t>
  </si>
  <si>
    <t>CASCADE CREEK 632-13-22</t>
  </si>
  <si>
    <t>LOT 4</t>
  </si>
  <si>
    <t>CASCADE CREEK 632-21-41</t>
  </si>
  <si>
    <t>LOT 3</t>
  </si>
  <si>
    <t>CASCADE CREEK 697-03-51D</t>
  </si>
  <si>
    <t>CASCADE CREEK 697-03-67D</t>
  </si>
  <si>
    <t>CASCADE CREEK 697-08-53</t>
  </si>
  <si>
    <t>CASCADE CREEK 697-15-01</t>
  </si>
  <si>
    <t>NWNW</t>
  </si>
  <si>
    <t>CASCADE CREEK 697-15-21D</t>
  </si>
  <si>
    <t>SENE</t>
  </si>
  <si>
    <t>CASCADE CREEK 697-15-29D</t>
  </si>
  <si>
    <t>CASCADE CREEK 697-15-30D</t>
  </si>
  <si>
    <t>CASCADE CREEK 697-15-31D</t>
  </si>
  <si>
    <t>CASCADE CREEK 697-15-54</t>
  </si>
  <si>
    <t>CASCADE CREEK 697-16-37D</t>
  </si>
  <si>
    <t>CASCADE CREEK 697-17-43D</t>
  </si>
  <si>
    <t>CASCADE CREEK 697-17-49D</t>
  </si>
  <si>
    <t>CASCADE CREEK 697-17-53D</t>
  </si>
  <si>
    <t>CASCADE CREEK 697-17-58D</t>
  </si>
  <si>
    <t>CASCADE CREEK 697-17-61D</t>
  </si>
  <si>
    <t>CASCADE CREEK 697-17-62D</t>
  </si>
  <si>
    <t>CASCADE CREEK 697-20-01D</t>
  </si>
  <si>
    <t>CASCADE CREEK 697-20-02D</t>
  </si>
  <si>
    <t>CASCADE CREEK 697-20-04D</t>
  </si>
  <si>
    <t>CASCADE CREEK 697-20-05D</t>
  </si>
  <si>
    <t>CASCADE CREEK 697-20-06D</t>
  </si>
  <si>
    <t>CASCADE CREEK 697-20-09D</t>
  </si>
  <si>
    <t>CASCADE CREEK 697-20-11D</t>
  </si>
  <si>
    <t>CASCADE CREEK 697-20-14D</t>
  </si>
  <si>
    <t>CASCADE CREEK 697-20-17D</t>
  </si>
  <si>
    <t>CASCADE CREEK 697-20-19D</t>
  </si>
  <si>
    <t>CASCADE CREEK 697-20-20D</t>
  </si>
  <si>
    <t>CASCADE CREEK 697-20-21D</t>
  </si>
  <si>
    <t>CASCADE CREEK 697-20-22D</t>
  </si>
  <si>
    <t>CASCADE CREEK 697-20-25D</t>
  </si>
  <si>
    <t>CASCADE CREEK 697-20-26D</t>
  </si>
  <si>
    <t>CASCADE CREEK 697-20-28</t>
  </si>
  <si>
    <t>CASCADE CREEK 697-20-30D</t>
  </si>
  <si>
    <t>CASCADE CREEK 697-20-34D</t>
  </si>
  <si>
    <t>CASCADE CREEK 697-20-35D</t>
  </si>
  <si>
    <t>CASCADE CREEK 697-20-36D</t>
  </si>
  <si>
    <t>CASCADE CREEK 697-20-37D</t>
  </si>
  <si>
    <t>CASCADE CREEK 697-20-39D</t>
  </si>
  <si>
    <t>CASCADE CREEK 697-20-40D</t>
  </si>
  <si>
    <t>CASCADE CREEK 697-20-43D</t>
  </si>
  <si>
    <t>CASCADE CREEK 697-20-53D</t>
  </si>
  <si>
    <t>CASCADE CREEK 697-20-54D</t>
  </si>
  <si>
    <t>CASCADE CREEK 697-20-56DA</t>
  </si>
  <si>
    <t>CASCADE CREEK 697-20-56DB</t>
  </si>
  <si>
    <t>CASCADE CREEK 697-20-59D</t>
  </si>
  <si>
    <t>CASCADE CREEK 697-20-61D</t>
  </si>
  <si>
    <t>CASCADE CREEK 697-20-62D</t>
  </si>
  <si>
    <t>CASCADE CREEK 697-20-64D</t>
  </si>
  <si>
    <t>CASCADE CREEK 697-29-07DA</t>
  </si>
  <si>
    <t>CASCADE CREEK 697-29-07DB</t>
  </si>
  <si>
    <t>CASCADE CREEK 697-29-10D</t>
  </si>
  <si>
    <t>CASCADE CREEK 697-29-15DB</t>
  </si>
  <si>
    <t>CASCADE CREEK 697-29-15DX</t>
  </si>
  <si>
    <t>CASCADE CREEK 697-29-20D</t>
  </si>
  <si>
    <t>CASCADE CREEK 697-29-22D</t>
  </si>
  <si>
    <t>CASCADE CREEK 697-29-26D</t>
  </si>
  <si>
    <t>CASCADE CREEK 697-29-29D</t>
  </si>
  <si>
    <t>CASCADE CREEK 697-29-30D</t>
  </si>
  <si>
    <t>CASCADE CREEK 697-29-34D</t>
  </si>
  <si>
    <t>CASCADE CREEK 697-29-36D</t>
  </si>
  <si>
    <t>CASCADE CREEK 697-29-38D</t>
  </si>
  <si>
    <t>CASCADE CREEK 697-29-46D</t>
  </si>
  <si>
    <t>CASCADE CREEK 697-29-54D</t>
  </si>
  <si>
    <t>CASCADE CREEK 697-29-59D</t>
  </si>
  <si>
    <t>CASCADE CREEK 697-29-60D</t>
  </si>
  <si>
    <t>CASCADE CREEK 697-32-01D</t>
  </si>
  <si>
    <t>CASCADE CREEK 697-32-03D</t>
  </si>
  <si>
    <t>CASCADE CREEK 697-32-09D</t>
  </si>
  <si>
    <t>CASCADE CREEK 697-32-10D</t>
  </si>
  <si>
    <t>CASCADE CREEK 697-32-12D</t>
  </si>
  <si>
    <t>CASCADE CREEK 697-32-18D</t>
  </si>
  <si>
    <t>CASCADE CREEK 705-22-43</t>
  </si>
  <si>
    <t>7S</t>
  </si>
  <si>
    <t>CASCADE CREEK 797-05-06DA</t>
  </si>
  <si>
    <t>CASCADE CREEK 797-05-06DB</t>
  </si>
  <si>
    <t>CASCADE CREEK 797-05-12D</t>
  </si>
  <si>
    <t>CASCADE CREEK 797-05-14DA</t>
  </si>
  <si>
    <t>CASCADE CREEK 797-05-29D</t>
  </si>
  <si>
    <t>CASCADE CREEK 797-05-31DA</t>
  </si>
  <si>
    <t xml:space="preserve">NESE </t>
  </si>
  <si>
    <t>CASCADE CREEK 797-05-31DB</t>
  </si>
  <si>
    <t>CASCADE CREEK 797-05-36</t>
  </si>
  <si>
    <t>CASCADE CREEK 797-05-45D</t>
  </si>
  <si>
    <t>CASCADE CREEK 797-05-52</t>
  </si>
  <si>
    <t>CASCADE CREEK 797-05-61D</t>
  </si>
  <si>
    <t>CASCADE CREEK 797-05-62D</t>
  </si>
  <si>
    <t>LOGAN WASH 797-23-16</t>
  </si>
  <si>
    <t>OXY FEDERAL 23-15</t>
  </si>
  <si>
    <t xml:space="preserve">OXY FEDERAL 604-11 </t>
  </si>
  <si>
    <t xml:space="preserve">OXY FEDERAL 708-11 </t>
  </si>
  <si>
    <t>LOT 2</t>
  </si>
  <si>
    <t>OXY FEDERAL 797-08-19D</t>
  </si>
  <si>
    <t>OXY FEDERAL 797-08-51D</t>
  </si>
  <si>
    <t>SHELL 797-14-01D</t>
  </si>
  <si>
    <t>COMP NAME</t>
  </si>
  <si>
    <t>PROD_INJ_DATE</t>
  </si>
  <si>
    <t>OIL_SALES</t>
  </si>
  <si>
    <t>OIL_PROD</t>
  </si>
  <si>
    <t>GAS_PROD</t>
  </si>
  <si>
    <t>GAS_FLARE</t>
  </si>
  <si>
    <t>GAS_FUEL</t>
  </si>
  <si>
    <t>GAS_OTHER</t>
  </si>
  <si>
    <t>WATER_PROD</t>
  </si>
  <si>
    <t>COLORADO WELL DATA</t>
  </si>
  <si>
    <t>GAS_SALES</t>
  </si>
  <si>
    <t>FEDERAL 0002-09H</t>
  </si>
  <si>
    <t>SHEEP MOUNTAIN 0001-01J</t>
  </si>
  <si>
    <t>SHEEP MOUNTAIN 0001-22H</t>
  </si>
  <si>
    <t>SHEEP MOUNTAIN 0002-10O</t>
  </si>
  <si>
    <t>SHEEP MOUNTAIN 0002-22A</t>
  </si>
  <si>
    <t>SHEEP MOUNTAIN 0002-35C</t>
  </si>
  <si>
    <t>SHEEP MOUNTAIN 0003-04O</t>
  </si>
  <si>
    <t>SHEEP MOUNTAIN 0003-15B</t>
  </si>
  <si>
    <t>SHEEP MOUNTAIN 0003-23D</t>
  </si>
  <si>
    <t>SHEEP MOUNTAIN 0004-14M</t>
  </si>
  <si>
    <t>SHEEP MOUNTAIN 0004-26E</t>
  </si>
  <si>
    <t>SHEEP MOUNTAIN 0005-15F</t>
  </si>
  <si>
    <t>SHEEP MOUNTAIN 0005-15O</t>
  </si>
  <si>
    <t>SHEEP MOUNTAIN 0006-09B</t>
  </si>
  <si>
    <t>SHEEP MOUNTAIN 0006-15I</t>
  </si>
  <si>
    <t>SHEEP MOUNTAIN 0007-09</t>
  </si>
  <si>
    <t>SHEEP MOUNTAIN 0007-22P</t>
  </si>
  <si>
    <t>SHEEP MOUNTAIN 0007-35L</t>
  </si>
  <si>
    <t>SHEEP MOUNTAIN 0008-02P</t>
  </si>
  <si>
    <t>SHEEP MOUNTAIN 0009-26</t>
  </si>
  <si>
    <t>SHEEP MOUNTAIN 0010-02</t>
  </si>
  <si>
    <t>SHEEP MOUNTAIN 0012-15</t>
  </si>
  <si>
    <t>SHEEP MOUNTAIN 0013-01</t>
  </si>
  <si>
    <t>SHELL 797-09-37A</t>
  </si>
  <si>
    <t>SHELL 797-27-13A</t>
  </si>
  <si>
    <t>CASCADE CREEK 697-16-18D</t>
  </si>
  <si>
    <t>CASCADE CREEK 697-17-25B</t>
  </si>
  <si>
    <t>CASCADE CREEK 697-17-33A</t>
  </si>
  <si>
    <t>CASCADE CREEK 697-15-17B</t>
  </si>
  <si>
    <t>CASCADE CREEK 697-17-33B</t>
  </si>
  <si>
    <t>CASCADE CREEK 697-16-15A</t>
  </si>
  <si>
    <t>CASCADE CREEK 697-17-19B</t>
  </si>
  <si>
    <t>CASCADE CREEK 697-17-25A</t>
  </si>
  <si>
    <t>CASCADE CREEK 697-17-27B</t>
  </si>
  <si>
    <t>CASCADE CREEK 697-17-35A</t>
  </si>
  <si>
    <t>CASCADE CREEK 697-17-35B</t>
  </si>
  <si>
    <t>CASCADE CREEK 697-17-41A</t>
  </si>
  <si>
    <t>CASCADE CREEK 697-17-44</t>
  </si>
  <si>
    <t>CASCADE CREEK 697-17-50</t>
  </si>
  <si>
    <t>CASCADE CREEK 697-18-39B</t>
  </si>
  <si>
    <t>CASCADE CREEK 697-18-47A</t>
  </si>
  <si>
    <t>CASCADE CREEK 697-18-47B</t>
  </si>
  <si>
    <t>CASCADE CREEK 697-18-56A</t>
  </si>
  <si>
    <t>CASCADE CREEK 697-18-56B</t>
  </si>
  <si>
    <t>CASCADE CREEK 697-18-64A</t>
  </si>
  <si>
    <t>CASCADE CREEK 697-19-08A</t>
  </si>
  <si>
    <t>CASCADE CREEK 697-09-52B</t>
  </si>
  <si>
    <t>CASCADE CREEK 697-09-60D</t>
  </si>
  <si>
    <t>CASCADE CREEK 697-09-64</t>
  </si>
  <si>
    <t>CASCADE CREEK 697-15-01A</t>
  </si>
  <si>
    <t>CASCADE CREEK 697-15-09A</t>
  </si>
  <si>
    <t>CASCADE CREEK 697-16-06</t>
  </si>
  <si>
    <t>CASCADE CREEK 797-06-05A</t>
  </si>
  <si>
    <t>CASCADE CREEK 797-06-07</t>
  </si>
  <si>
    <t>SHELL 797-09 -37A</t>
  </si>
  <si>
    <t>TRACT</t>
  </si>
  <si>
    <t>CASCADE CREEK 697-16-36B</t>
  </si>
  <si>
    <t>CASCADE CREEK 697-16-54B</t>
  </si>
  <si>
    <t>CASCADE CREEK 697-16-52B</t>
  </si>
  <si>
    <t>96W</t>
  </si>
  <si>
    <t>CASCADE CREEK 697-09-44B</t>
  </si>
  <si>
    <t>CASCADE CREEK 697-16-60</t>
  </si>
  <si>
    <t>LOGAN WASH 796-16-14B</t>
  </si>
  <si>
    <t>CASCADE CREEK 697-09-52A</t>
  </si>
  <si>
    <t>CASCADE CREEK 697-16-44A</t>
  </si>
  <si>
    <t>CASCADE CREEK 697-16-44B</t>
  </si>
  <si>
    <t>CASCADE CREEK 697-16-48B</t>
  </si>
  <si>
    <t>CASCADE CREEK 697-16-50B</t>
  </si>
  <si>
    <t>CASCADE CREEK 697-16-52A</t>
  </si>
  <si>
    <t>CASCADE CREEK 697-16-54A</t>
  </si>
  <si>
    <t>CASCADE CREEK 697-16-62</t>
  </si>
  <si>
    <t>CASCADE CREEK 697-16-40A</t>
  </si>
  <si>
    <t>CASCADE CREEK 697-16-46B</t>
  </si>
  <si>
    <t>CASCADE CREEK 697-16-63</t>
  </si>
  <si>
    <t>CASCADE CREEK 697-16-58B</t>
  </si>
  <si>
    <t>CASCADE CREEK 697-16-13B</t>
  </si>
  <si>
    <t>CASCADE CREEK 697-09-62B</t>
  </si>
  <si>
    <t>CASCADE CREEK 697-09-54B</t>
  </si>
  <si>
    <t>CASCADE CREEK 697-09-62A</t>
  </si>
  <si>
    <t>CASCADE CREEK 697-16-21A</t>
  </si>
  <si>
    <t>CASCADE CREEK 697-09-54A</t>
  </si>
  <si>
    <t>CASCADE CREEK 697-16-11A</t>
  </si>
  <si>
    <t>CASCADE CREEK 697-16-02A</t>
  </si>
  <si>
    <t>CASCADE CREEK 697-09-60B</t>
  </si>
  <si>
    <t>CASCADE CREEK 697-16-05</t>
  </si>
  <si>
    <t>ANDERSON 0001</t>
  </si>
  <si>
    <t>ANDERSON 07-11</t>
  </si>
  <si>
    <t>ANDERSON 07-12</t>
  </si>
  <si>
    <t>ANDERSON 07-13</t>
  </si>
  <si>
    <t>ANDERSON 07-14</t>
  </si>
  <si>
    <t>BLACKMAN 14-05</t>
  </si>
  <si>
    <t>BLACKMAN 14-06</t>
  </si>
  <si>
    <t>BLACKMAN 14-12</t>
  </si>
  <si>
    <t>BLACKMAN 14-13</t>
  </si>
  <si>
    <t>BLACKMAN 14-14</t>
  </si>
  <si>
    <t>BLACKMAN 15-08</t>
  </si>
  <si>
    <t>BLACKMAN 15-09</t>
  </si>
  <si>
    <t>BLACKMAN 22-01</t>
  </si>
  <si>
    <t>BLACKMAN 23-03</t>
  </si>
  <si>
    <t>BLACKMAN 23-04</t>
  </si>
  <si>
    <t>BRUSH CREEK RANCH 14-10</t>
  </si>
  <si>
    <t>BRUSH CREEK RANCH 14-11</t>
  </si>
  <si>
    <t>BRUSH CREEK RANCH 14-15</t>
  </si>
  <si>
    <t>BRUSH CREEK RANCH 14-16</t>
  </si>
  <si>
    <t>CAMPBELL 18-11</t>
  </si>
  <si>
    <t>CAMPBELL 18-13</t>
  </si>
  <si>
    <t>CAMPBELL 18-14</t>
  </si>
  <si>
    <t>CURREY 16-11</t>
  </si>
  <si>
    <t>CURREY 16-14</t>
  </si>
  <si>
    <t>CURREY 16-15</t>
  </si>
  <si>
    <t>CURREY 16-15A</t>
  </si>
  <si>
    <t>CURREY 16-15B</t>
  </si>
  <si>
    <t>CURREY 16-15C</t>
  </si>
  <si>
    <t>CURREY 21-02</t>
  </si>
  <si>
    <t>CURREY 21-02A</t>
  </si>
  <si>
    <t>CURRIER 25-13</t>
  </si>
  <si>
    <t>CURRIER 26-09C</t>
  </si>
  <si>
    <t>CURRIER 26-10</t>
  </si>
  <si>
    <t>CURRIER 26-15</t>
  </si>
  <si>
    <t>CURRIER 26-16</t>
  </si>
  <si>
    <t>CURRIER 35-01</t>
  </si>
  <si>
    <t>CURRIER 35-02</t>
  </si>
  <si>
    <t>CURRIER 35-03</t>
  </si>
  <si>
    <t>CURRIER 36-04</t>
  </si>
  <si>
    <t>DAVID 23-01</t>
  </si>
  <si>
    <t>DAVID 23-02</t>
  </si>
  <si>
    <t>DAVID 23-05</t>
  </si>
  <si>
    <t>DAVID 23-06</t>
  </si>
  <si>
    <t>DAVID 23-07</t>
  </si>
  <si>
    <t>DAVID 23-07A</t>
  </si>
  <si>
    <t>DAVID 23-07B</t>
  </si>
  <si>
    <t>DAVID 23-07C</t>
  </si>
  <si>
    <t>DAVID 23-08</t>
  </si>
  <si>
    <t>DAVID 23-09</t>
  </si>
  <si>
    <t>DAVID 23-10</t>
  </si>
  <si>
    <t>DAVID 23-11</t>
  </si>
  <si>
    <t>DAVID 23-12</t>
  </si>
  <si>
    <t>DAVID FEDERAL 23-15</t>
  </si>
  <si>
    <t>ESPERANZA 08-05</t>
  </si>
  <si>
    <t>ESPERANZA 08-06</t>
  </si>
  <si>
    <t>ESPERANZA 08-10</t>
  </si>
  <si>
    <t>ESPERANZA FEDERAL 08-02</t>
  </si>
  <si>
    <t>ESPERANZA FEDERAL 08-03</t>
  </si>
  <si>
    <t>ESPERANZA FEDERAL 08-07</t>
  </si>
  <si>
    <t>ESPERANZA RANCH 0002</t>
  </si>
  <si>
    <t>ESPERANZA RANCH 04-13</t>
  </si>
  <si>
    <t>ESPERANZA RANCH 08-08</t>
  </si>
  <si>
    <t>ESPERANZA RANCH 09-04</t>
  </si>
  <si>
    <t>ESPERANZA RANCH 09-05</t>
  </si>
  <si>
    <t>GIPP 13-07</t>
  </si>
  <si>
    <t>GIPP 13-08</t>
  </si>
  <si>
    <t>GIPP 13-09</t>
  </si>
  <si>
    <t>GIPP 13-10</t>
  </si>
  <si>
    <t>GIPP 13-15</t>
  </si>
  <si>
    <t>GIPP 13-16</t>
  </si>
  <si>
    <t>GRIFFITH 11-01B</t>
  </si>
  <si>
    <t>GRIFFITH 11-08A</t>
  </si>
  <si>
    <t>GRIFFITH 11-08B</t>
  </si>
  <si>
    <t>GRIFFITH 14-02</t>
  </si>
  <si>
    <t>GUNDERSON 12-06</t>
  </si>
  <si>
    <t>GUNDERSON 12-11</t>
  </si>
  <si>
    <t>GUNDERSON 12-14A</t>
  </si>
  <si>
    <t>GUNDERSON 12-15</t>
  </si>
  <si>
    <t>GUNDERSON 13-03</t>
  </si>
  <si>
    <t>GUNDERSON 13-05</t>
  </si>
  <si>
    <t>GUNDERSON 13-06</t>
  </si>
  <si>
    <t>GUNDERSON 13-11</t>
  </si>
  <si>
    <t>GUNDERSON 13-12</t>
  </si>
  <si>
    <t>GUNDERSON 13-13</t>
  </si>
  <si>
    <t>GUNDERSON 13-14</t>
  </si>
  <si>
    <t>GUNDERSON 18-03</t>
  </si>
  <si>
    <t>GUNDERSON 18-05</t>
  </si>
  <si>
    <t>GUNDERSON 18-06</t>
  </si>
  <si>
    <t>GUNDERSON 18-11</t>
  </si>
  <si>
    <t>GUNDERSON FEDERAL 12-07</t>
  </si>
  <si>
    <t>GUNDERSON FEDERAL 12-08</t>
  </si>
  <si>
    <t>GUNDERSON FEDERAL 12-09</t>
  </si>
  <si>
    <t>GUNDERSON FEDERAL 12-16</t>
  </si>
  <si>
    <t>GUNDERSON FEDERAL 13-01</t>
  </si>
  <si>
    <t>GUNDERSON FEDERAL 13-02</t>
  </si>
  <si>
    <t>GUNDERSON FEDERAL 18-04</t>
  </si>
  <si>
    <t>HAWKINS RANCH 03-13</t>
  </si>
  <si>
    <t>HAWKINS RANCH 10-04</t>
  </si>
  <si>
    <t>HAWKINS RANCH 10-06</t>
  </si>
  <si>
    <t>HAWKINS RANCH 10-06A</t>
  </si>
  <si>
    <t>HAWKINS RANCH 10-06B</t>
  </si>
  <si>
    <t>HAWKINS RANCH 10-06C</t>
  </si>
  <si>
    <t>HAWKINS RANCH 10-07</t>
  </si>
  <si>
    <t>HAWKINS RANCH 10-07A</t>
  </si>
  <si>
    <t>HAWKINS RANCH 10-07B</t>
  </si>
  <si>
    <t>HAWKINS RANCH 10-07C</t>
  </si>
  <si>
    <t>HAWKINS RANCH 10-08</t>
  </si>
  <si>
    <t>HAWKINS RANCH 10-08A</t>
  </si>
  <si>
    <t>HAWKINS RANCH 10-08B</t>
  </si>
  <si>
    <t>HAWKINS RANCH 10-08C</t>
  </si>
  <si>
    <t>HAWKINS RANCH 10-09</t>
  </si>
  <si>
    <t>HAWKINS RANCH 10-09A</t>
  </si>
  <si>
    <t>HAWKINS RANCH 10-10</t>
  </si>
  <si>
    <t>HAWKINS RANCH 10-10A</t>
  </si>
  <si>
    <t>HELLS GULCH FEDERAL 02-01</t>
  </si>
  <si>
    <t>HELLS GULCH FEDERAL 02-02</t>
  </si>
  <si>
    <t>HELLS GULCH FEDERAL 02-07</t>
  </si>
  <si>
    <t>HELLS GULCH FEDERAL 02-08</t>
  </si>
  <si>
    <t>HELLS GULCH FEDERAL 02-09</t>
  </si>
  <si>
    <t>HELLS GULCH FEDERAL 02-10</t>
  </si>
  <si>
    <t>HELLS GULCH FEDERAL 02-15</t>
  </si>
  <si>
    <t>HELLS GULCH FEDERAL 02-16</t>
  </si>
  <si>
    <t>HELLS GULCH FEDERAL 23-11</t>
  </si>
  <si>
    <t>HELLS GULCH FEDERAL 23-11A</t>
  </si>
  <si>
    <t>HELLS GULCH FEDERAL 23-11B</t>
  </si>
  <si>
    <t>HELLS GULCH FEDERAL 23-11C</t>
  </si>
  <si>
    <t>HELLS GULCH FEDERAL 23-12</t>
  </si>
  <si>
    <t>HELLS GULCH FEDERAL 23-12A</t>
  </si>
  <si>
    <t>HELLS GULCH FEDERAL 23-12B</t>
  </si>
  <si>
    <t>HELLS GULCH FEDERAL 23-12C</t>
  </si>
  <si>
    <t>HELLS GULCH FEDERAL 23-13</t>
  </si>
  <si>
    <t>HELLS GULCH FEDERAL 23-13A</t>
  </si>
  <si>
    <t>HELLS GULCH FEDERAL 23-13B</t>
  </si>
  <si>
    <t>HELLS GULCH FEDERAL 23-13C</t>
  </si>
  <si>
    <t>HELLS GULCH FEDERAL 23-14</t>
  </si>
  <si>
    <t>HELLS GULCH FEDERAL 23-14A</t>
  </si>
  <si>
    <t>HELLS GULCH FEDERAL 23-14B</t>
  </si>
  <si>
    <t>HELLS GULCH FEDERAL 23-14C</t>
  </si>
  <si>
    <t>HELLS GULCH FEDERAL 23-15</t>
  </si>
  <si>
    <t>HELLS GULCH FEDERAL 23-15A</t>
  </si>
  <si>
    <t>HELLS GULCH FEDERAL 23-15B</t>
  </si>
  <si>
    <t>HELLS GULCH FEDERAL 23-15C</t>
  </si>
  <si>
    <t>HELLS GULCH FEDERAL 24-13</t>
  </si>
  <si>
    <t>HELLS GULCH FEDERAL 26-02</t>
  </si>
  <si>
    <t>HELLS GULCH FEDERAL 26-02A</t>
  </si>
  <si>
    <t>HELLS GULCH FEDERAL 26-02B</t>
  </si>
  <si>
    <t>HELLS GULCH FEDERAL 26-02C</t>
  </si>
  <si>
    <t>HELLS GULCH FEDERAL 26-03</t>
  </si>
  <si>
    <t>HELLS GULCH FEDERAL 26-03A</t>
  </si>
  <si>
    <t>HELLS GULCH FEDERAL 26-03C</t>
  </si>
  <si>
    <t>HELLS GULCH FEDERAL 26-04</t>
  </si>
  <si>
    <t>HELLS GULCH FEDERAL 26-04A</t>
  </si>
  <si>
    <t>HELLS GULCH FEDERAL 26-04B</t>
  </si>
  <si>
    <t>HELLS GULCH FEDERAL 26-04C</t>
  </si>
  <si>
    <t>HELLS GULCH FEDERAL 26-05A</t>
  </si>
  <si>
    <t>HELLS GULCH FEDERAL 26-11</t>
  </si>
  <si>
    <t>HIDDEN CREEK WEST FEDERAL 23-01</t>
  </si>
  <si>
    <t>HIDDEN CREEK WEST FEDERAL 23-02</t>
  </si>
  <si>
    <t>HIDDEN CREEK WEST FEDERAL 23-03</t>
  </si>
  <si>
    <t>HIDDEN CREEK WEST FEDERAL 23-03A</t>
  </si>
  <si>
    <t>HIDDEN CREEK WEST FEDERAL 23-03B</t>
  </si>
  <si>
    <t>HIDDEN CREEK WEST FEDERAL 23-04</t>
  </si>
  <si>
    <t>HIDDEN CREEK WEST FEDERAL 23-05</t>
  </si>
  <si>
    <t>HIDDEN CREEK WEST FEDERAL 23-06</t>
  </si>
  <si>
    <t>HIDDEN CREEK WEST FEDERAL 23-07</t>
  </si>
  <si>
    <t>LARAMIE LAND &amp;CATTLE CO 36-07</t>
  </si>
  <si>
    <t>LARAMIE LAND &amp;CATTLE CO 36-07A</t>
  </si>
  <si>
    <t>LARAMIE LAND &amp;CATTLE CO 36-08A</t>
  </si>
  <si>
    <t>LARAMIE LAND &amp;CATTLE CO 36-09</t>
  </si>
  <si>
    <t>LARAMIE LAND &amp;CATTLE CO 36-09A</t>
  </si>
  <si>
    <t>LARAMIE LAND &amp;CATTLE CO 36-10</t>
  </si>
  <si>
    <t>LARAMIE LAND &amp;CATTLE CO 36-10A</t>
  </si>
  <si>
    <t>LARAMIE LAND &amp;CATTLE CO 36-11</t>
  </si>
  <si>
    <t>LARAMIE LAND &amp;CATTLE CO 36-11A</t>
  </si>
  <si>
    <t>LARAMIE LAND &amp;CATTLE CO 36-14</t>
  </si>
  <si>
    <t>LARAMIE LAND &amp;CATTLE CO 36-14A</t>
  </si>
  <si>
    <t>LARAMIE LAND &amp;CATTLE CO 36-15</t>
  </si>
  <si>
    <t>LOGAN TRAIL FEDERAL 28-07</t>
  </si>
  <si>
    <t>MCDANIEL 02-01</t>
  </si>
  <si>
    <t>MCDANIEL 02-01A</t>
  </si>
  <si>
    <t>MCDANIEL 02-01B</t>
  </si>
  <si>
    <t>MCDANIEL 02-01C</t>
  </si>
  <si>
    <t>MCDANIEL 02-02</t>
  </si>
  <si>
    <t>MCDANIEL 02-02A</t>
  </si>
  <si>
    <t>MCDANIEL 02-02B</t>
  </si>
  <si>
    <t>MCDANIEL 02-02C</t>
  </si>
  <si>
    <t>MCDANIEL 02-03</t>
  </si>
  <si>
    <t>MCDANIEL 02-04</t>
  </si>
  <si>
    <t>MCDANIEL 02-05</t>
  </si>
  <si>
    <t>MCDANIEL 02-06</t>
  </si>
  <si>
    <t>MCDANIEL 02-07</t>
  </si>
  <si>
    <t>MCDANIEL 02-07A</t>
  </si>
  <si>
    <t>MCDANIEL 02-07B</t>
  </si>
  <si>
    <t>MCDANIEL 02-07C</t>
  </si>
  <si>
    <t>MCDANIEL 02-08</t>
  </si>
  <si>
    <t>MCDANIEL 02-08A</t>
  </si>
  <si>
    <t>MCDANIEL 02-08B</t>
  </si>
  <si>
    <t>MCDANIEL 02-08C</t>
  </si>
  <si>
    <t>MCDANIEL 02-09</t>
  </si>
  <si>
    <t>MCDANIEL 02-09A</t>
  </si>
  <si>
    <t>MCDANIEL 02-09B</t>
  </si>
  <si>
    <t>MCDANIEL 02-09C</t>
  </si>
  <si>
    <t>MCDANIEL 02-10</t>
  </si>
  <si>
    <t>MCDANIEL 02-10A</t>
  </si>
  <si>
    <t>MCDANIEL 02-10B</t>
  </si>
  <si>
    <t>MCDANIEL 02-10C</t>
  </si>
  <si>
    <t>MCDANIEL 02-11</t>
  </si>
  <si>
    <t>MCDANIEL 02-15</t>
  </si>
  <si>
    <t>MCDANIEL 02-15A</t>
  </si>
  <si>
    <t>MCDANIEL 02-15B</t>
  </si>
  <si>
    <t>MCDANIEL 02-15C</t>
  </si>
  <si>
    <t>MCDANIEL 02-16</t>
  </si>
  <si>
    <t>MCDANIEL 02-16A</t>
  </si>
  <si>
    <t>MCDANIEL 02-16B</t>
  </si>
  <si>
    <t>MCDANIEL 02-16C</t>
  </si>
  <si>
    <t>MCDANIEL 11-08</t>
  </si>
  <si>
    <t>MCDANIEL 11-11</t>
  </si>
  <si>
    <t>MCDANIEL 11-14</t>
  </si>
  <si>
    <t>MCDANIEL 11-14B</t>
  </si>
  <si>
    <t>MCDANIEL 11-15</t>
  </si>
  <si>
    <t>MCDANIEL 13-04</t>
  </si>
  <si>
    <t>MCDANIEL 14-01</t>
  </si>
  <si>
    <t>MCDANIEL 14-03</t>
  </si>
  <si>
    <t>MCDANIEL 14-04</t>
  </si>
  <si>
    <t>MCDANIEL 14-07</t>
  </si>
  <si>
    <t>MCDANIEL 14-08</t>
  </si>
  <si>
    <t>MCDANIEL 15-01</t>
  </si>
  <si>
    <t>MCDANIEL FEDERAL 01-4.5</t>
  </si>
  <si>
    <t>MCDANIEL FEDERAL 02-12</t>
  </si>
  <si>
    <t>MCDANIEL FEDERAL 02-13</t>
  </si>
  <si>
    <t>MCDANIEL FEDERAL 02-14</t>
  </si>
  <si>
    <t>MCDANIEL FEDERAL 11-03</t>
  </si>
  <si>
    <t>MCDANIEL FEDERAL 11-04</t>
  </si>
  <si>
    <t>MCDANIEL FEDERAL 11-05</t>
  </si>
  <si>
    <t>MCDANIEL FEDERAL 11-06</t>
  </si>
  <si>
    <t>MCDANIEL FEDERAL 11-12</t>
  </si>
  <si>
    <t>MCDANIEL FEDERAL 11-12C</t>
  </si>
  <si>
    <t>MCDANIEL FEDERAL 11-13</t>
  </si>
  <si>
    <t>MCDANIEL FEDERAL 11-13C</t>
  </si>
  <si>
    <t>MCDANIEL FEDERAL 12-13</t>
  </si>
  <si>
    <t>MCELWAIN FEDERAL 12-12</t>
  </si>
  <si>
    <t>MITCHELL 32-03</t>
  </si>
  <si>
    <t>MITCHELL 32-06</t>
  </si>
  <si>
    <t>MITCHELL FEDERAL 32-04</t>
  </si>
  <si>
    <t>MITCHELL FEDERAL 32-05</t>
  </si>
  <si>
    <t>MITCHELL FEDERAL 32-11</t>
  </si>
  <si>
    <t>MITCHELL FEDERAL 32-12</t>
  </si>
  <si>
    <t>MY WAY RANCH 01-01</t>
  </si>
  <si>
    <t>MY WAY RANCH 01-08</t>
  </si>
  <si>
    <t>MY WAY RANCH 06-04</t>
  </si>
  <si>
    <t>MY WAY RANCH 07-01A</t>
  </si>
  <si>
    <t>MY WAY RANCH 07-02</t>
  </si>
  <si>
    <t>MY WAY RANCH 07-07</t>
  </si>
  <si>
    <t>MY WAY RANCH 08-11</t>
  </si>
  <si>
    <t>MY WAY RANCH 08-12</t>
  </si>
  <si>
    <t>MY WAY RANCH 08-13</t>
  </si>
  <si>
    <t>MY WAY RANCH 08-14</t>
  </si>
  <si>
    <t>MY WAY RANCH 08-15</t>
  </si>
  <si>
    <t>MY WAY RANCH 16-11</t>
  </si>
  <si>
    <t>MY WAY RANCH 16-13</t>
  </si>
  <si>
    <t>MY WAY RANCH 17-07</t>
  </si>
  <si>
    <t>MY WAY RANCH 17-08</t>
  </si>
  <si>
    <t>MY WAY RANCH 18-01A</t>
  </si>
  <si>
    <t>MY WAY RANCH 18-02</t>
  </si>
  <si>
    <t>MY WAY RANCH 18-03</t>
  </si>
  <si>
    <t>MY WAY RANCH 18-04</t>
  </si>
  <si>
    <t>MY WAY RANCH 18-05</t>
  </si>
  <si>
    <t>MY WAY RANCH 18-06</t>
  </si>
  <si>
    <t>MY WAY RANCH 18-07</t>
  </si>
  <si>
    <t>MY WAY RANCH 18-08</t>
  </si>
  <si>
    <t>MY WAY RANCH 36-16</t>
  </si>
  <si>
    <t>MY WAY RANCH FEDERAL 05-13</t>
  </si>
  <si>
    <t>MY WAY RANCH FEDERAL 05-14</t>
  </si>
  <si>
    <t>MY WAY RANCH FEDERAL 06-02</t>
  </si>
  <si>
    <t>MY WAY RANCH FEDERAL 06-03</t>
  </si>
  <si>
    <t>MY WAY RANCH FEDERAL 06-06</t>
  </si>
  <si>
    <t>MY WAY RANCH FEDERAL 06-07</t>
  </si>
  <si>
    <t>MY WAY RANCH FEDERAL 06-08</t>
  </si>
  <si>
    <t>MY WAY RANCH FEDERAL 06-09</t>
  </si>
  <si>
    <t>MY WAY RANCH FEDERAL 06-10</t>
  </si>
  <si>
    <t>MY WAY RANCH FEDERAL 06-11</t>
  </si>
  <si>
    <t>MY WAY RANCH FEDERAL 06-12</t>
  </si>
  <si>
    <t>MY WAY RANCH FEDERAL 06-14</t>
  </si>
  <si>
    <t>MY WAY RANCH FEDERAL 06-15</t>
  </si>
  <si>
    <t>MY WAY RANCH FEDERAL 06-16</t>
  </si>
  <si>
    <t>MY WAY RANCH FEDERAL 17-01</t>
  </si>
  <si>
    <t>MY WAY RANCH FEDERAL 31-13</t>
  </si>
  <si>
    <t>MY WAY RANCH FEDERAL 31-14</t>
  </si>
  <si>
    <t>NICHOLS 24-03</t>
  </si>
  <si>
    <t>NICHOLS 24-04</t>
  </si>
  <si>
    <t>NICHOLS 24-05</t>
  </si>
  <si>
    <t>NICHOLS 24-06</t>
  </si>
  <si>
    <t>NICHOLS 24-10</t>
  </si>
  <si>
    <t>NICHOLS 24-11</t>
  </si>
  <si>
    <t>RED MOUNTAIN RANCH 04-02</t>
  </si>
  <si>
    <t>RED MOUNTAIN RANCH 04-03</t>
  </si>
  <si>
    <t>RED MOUNTAIN RANCH 04-04</t>
  </si>
  <si>
    <t>RED MOUNTAIN RANCH 04-05</t>
  </si>
  <si>
    <t>RED MOUNTAIN RANCH 33-11</t>
  </si>
  <si>
    <t>RED MOUNTAIN RANCH 33-13</t>
  </si>
  <si>
    <t>RED MOUNTAIN RANCH 33-14</t>
  </si>
  <si>
    <t>RED MOUNTAIN RANCH 33-15</t>
  </si>
  <si>
    <t>UTE WATER 22-10</t>
  </si>
  <si>
    <t>UTE WATER 22-11</t>
  </si>
  <si>
    <t>UTE WATER 22-12</t>
  </si>
  <si>
    <t>UTE WATER 22-13</t>
  </si>
  <si>
    <t>UTE WATER 22-14</t>
  </si>
  <si>
    <t>UTE WATER 22-15</t>
  </si>
  <si>
    <t>UTE WATER 27-02</t>
  </si>
  <si>
    <t>UTE WATER 27-03</t>
  </si>
  <si>
    <t>UTE WATER 35-08</t>
  </si>
  <si>
    <t>UTE WATER 35-15</t>
  </si>
  <si>
    <t>UTE WATER 35-16</t>
  </si>
  <si>
    <t>UTE WATER 36-13</t>
  </si>
  <si>
    <t>WOODS SPANGLER 15-11</t>
  </si>
  <si>
    <t>WOODS SPANGLER 15-12</t>
  </si>
  <si>
    <t>WOODS SPANGLER 15-13</t>
  </si>
  <si>
    <t>WOODS SPANGLER 15-14</t>
  </si>
  <si>
    <t>WOODS SPANGLER 16-16</t>
  </si>
  <si>
    <t>WOODS SPANGLER 21-01</t>
  </si>
  <si>
    <t>WOODS SPANGLER 22-04</t>
  </si>
  <si>
    <t>SHELL 697-34-14A</t>
  </si>
  <si>
    <t>SHELL 697-34-22A</t>
  </si>
  <si>
    <t>SHELL 697-34-16A</t>
  </si>
  <si>
    <t>CASCADE CREEK 697-09-44A</t>
  </si>
  <si>
    <t>SHELL 697-34-14B</t>
  </si>
  <si>
    <t>SHELL 697-34-22B</t>
  </si>
  <si>
    <t>SHELL 797-03-06A</t>
  </si>
  <si>
    <t>SHELL 797-03-06B</t>
  </si>
  <si>
    <t>SHELL 697-34-08A</t>
  </si>
  <si>
    <t>SHELL 697-34-08B</t>
  </si>
  <si>
    <t>CASCADE CREEK 697-09-35C</t>
  </si>
  <si>
    <t>LW 796-17-53A</t>
  </si>
  <si>
    <t>CASCADE CREEK 697-16-36A</t>
  </si>
  <si>
    <t>CASCADE CREEK 697-16-38</t>
  </si>
  <si>
    <t>CASCADE CREEK 697-16-40B</t>
  </si>
  <si>
    <t>CASCADE CREEK 697-16-46A</t>
  </si>
  <si>
    <t>CASCADE CREEK 697-16-48A</t>
  </si>
  <si>
    <t>CASCADE CREEK 697-16-56</t>
  </si>
  <si>
    <t>CASCADE CREEK 697-16-58A</t>
  </si>
  <si>
    <t>CASCADE CREEK 697-17-41B</t>
  </si>
  <si>
    <t>CASCADE CREEK 605-01</t>
  </si>
  <si>
    <t>CASCADE CREEK 605-02</t>
  </si>
  <si>
    <t>CASCADE CREEK 629-02</t>
  </si>
  <si>
    <t>CASCADE CREEK 697-16-25A</t>
  </si>
  <si>
    <t>CASCADE CREEK 697-16-31</t>
  </si>
  <si>
    <t>CASCADE CREEK 697-16-34</t>
  </si>
  <si>
    <t>CASCADE CREEK 697-16-35</t>
  </si>
  <si>
    <t>GUNDERSON 12-10B</t>
  </si>
  <si>
    <t>MY WAY RANCH 08-04</t>
  </si>
  <si>
    <t>CMEO</t>
  </si>
  <si>
    <t>LOGAN WASH 796-17-53A</t>
  </si>
  <si>
    <t>DAYS_PROD</t>
  </si>
  <si>
    <t>version 9.7.17</t>
  </si>
  <si>
    <t>LOGAN WASH 797-23-45AX</t>
  </si>
  <si>
    <t>GRIFFITH 11-01C</t>
  </si>
  <si>
    <t>FTUN</t>
  </si>
  <si>
    <t>DIKE MOUNTAIN 4-13</t>
  </si>
  <si>
    <t>GRIFFITH 11-01</t>
  </si>
  <si>
    <t>GRIFFITH 11-02</t>
  </si>
  <si>
    <t>GRIFFITH 11-07</t>
  </si>
  <si>
    <t>LW 797-23-16</t>
  </si>
  <si>
    <t>UTE WATER 35-09</t>
  </si>
  <si>
    <t>UTE WATER 36-05</t>
  </si>
  <si>
    <t>UTE WATER 36-12</t>
  </si>
  <si>
    <t>GIPP 18-13A</t>
  </si>
  <si>
    <t>GIPP 18-13C</t>
  </si>
  <si>
    <t>HAWKINS RANCH 10-2A</t>
  </si>
  <si>
    <t>HAWKINS RANCH 10-3A</t>
  </si>
  <si>
    <t>COZZ</t>
  </si>
  <si>
    <t>CURREY 16-2</t>
  </si>
  <si>
    <t>CURREY 16-7B</t>
  </si>
  <si>
    <t>CURREY 16-9</t>
  </si>
  <si>
    <t>GIPP 18-12C</t>
  </si>
  <si>
    <t>GIPP 18-13</t>
  </si>
  <si>
    <t>GIPP 18-13B</t>
  </si>
  <si>
    <t>GIPP 18-14C</t>
  </si>
  <si>
    <t>GUNDERSON 18-3A</t>
  </si>
  <si>
    <t>GUNDERSON 18-3B</t>
  </si>
  <si>
    <t>GUNDERSON 18-3C</t>
  </si>
  <si>
    <t>CASCADE CREEK 697-09-62A .2</t>
  </si>
  <si>
    <t>CASCADE CREEK 697-09-62A .6</t>
  </si>
  <si>
    <t>CRCRN</t>
  </si>
  <si>
    <t>GIPP 18-14</t>
  </si>
  <si>
    <t>GIPP 18-14B</t>
  </si>
  <si>
    <t>HAWKINS RANCH 10-2C</t>
  </si>
  <si>
    <t>HAWKINS RANCH 10-3B</t>
  </si>
  <si>
    <t>HAWKINS RANCH 10-3C</t>
  </si>
  <si>
    <t>HAWKINS RANCH 10-4A</t>
  </si>
  <si>
    <t>HAWKINS RANCH 10-4B</t>
  </si>
  <si>
    <t>HAWKINS RANCH 10-4C</t>
  </si>
  <si>
    <t>RLNS</t>
  </si>
  <si>
    <t>GRIFFITH 11-1A</t>
  </si>
  <si>
    <t>GRIFFITH 11-2A</t>
  </si>
  <si>
    <t>GRIFFITH 11-2B</t>
  </si>
  <si>
    <t>GRIFFITH 11-7B</t>
  </si>
  <si>
    <t>GRIFFITH 11-7C</t>
  </si>
  <si>
    <t>HAWKINS RANCH 03-13A</t>
  </si>
  <si>
    <t>HAWKINS RANCH 03-13B</t>
  </si>
  <si>
    <t>HAWKINS RANCH 03-13C</t>
  </si>
  <si>
    <t>HAWKINS RANCH 10-2B</t>
  </si>
  <si>
    <t>GRIFFITH 11-2C</t>
  </si>
  <si>
    <t>GRIFFITH 11-7A</t>
  </si>
  <si>
    <t>LARAMIE LAND &amp;CATTLE CO 17-3</t>
  </si>
  <si>
    <t>LARAMIE LAND &amp;CATTLE CO 17-3A</t>
  </si>
  <si>
    <t>LARAMIE LAND &amp;CATTLE CO 17-3B</t>
  </si>
  <si>
    <t>LARAMIE LAND &amp;CATTLE CO 17-3C</t>
  </si>
  <si>
    <t>LARAMIE LAND &amp;CATTLE CO 17-4</t>
  </si>
  <si>
    <t>LARAMIE LAND &amp;CATTLE CO 17-4A</t>
  </si>
  <si>
    <t>LARAMIE LAND &amp;CATTLE CO 17-4B</t>
  </si>
  <si>
    <t>LARAMIE LAND &amp;CATTLE CO 17-6</t>
  </si>
  <si>
    <t>LARAMIE LAND &amp;CATTLE CO 17-6A</t>
  </si>
  <si>
    <t>LARAMIE LAND &amp;CATTLE CO 17-6B</t>
  </si>
  <si>
    <t xml:space="preserve">WFCM </t>
  </si>
  <si>
    <t>SHELL 697-34-14B .2</t>
  </si>
  <si>
    <t>MNCS</t>
  </si>
  <si>
    <t>SHELL 697-34-14B .6</t>
  </si>
  <si>
    <t>SHELL 697-34-14B .1</t>
  </si>
  <si>
    <t>MCDANIEL 11-16A</t>
  </si>
  <si>
    <t>MCDANIEL 11-9B</t>
  </si>
  <si>
    <t>MCDANIEL 11-9C</t>
  </si>
  <si>
    <t>CASCADE CREEK 697-17-64A</t>
  </si>
  <si>
    <t>CASCADE CREEK 697-16-33</t>
  </si>
  <si>
    <t>LW 796-16-14B</t>
  </si>
  <si>
    <t>MCDANIEL 11-10A</t>
  </si>
  <si>
    <t>MCDANIEL 11-10B</t>
  </si>
  <si>
    <t>MCDANIEL 11-10C</t>
  </si>
  <si>
    <t>MCDANIEL 11-14C</t>
  </si>
  <si>
    <t>MCDANIEL 11-9A</t>
  </si>
  <si>
    <t>MCDANIEL 14-3A</t>
  </si>
  <si>
    <t>CASCADE CREEK 697-16-25B .6</t>
  </si>
  <si>
    <t>CASCADE CREEK 697-16-25B .2</t>
  </si>
  <si>
    <t>C</t>
  </si>
  <si>
    <t>CASCADE CREEK 697-16-42B</t>
  </si>
  <si>
    <t>CASCADE CREEK 697-16-50A</t>
  </si>
  <si>
    <t>CASCADE CREEK 697-16-19</t>
  </si>
  <si>
    <t>CASCADE CREEK 697-16-25B</t>
  </si>
  <si>
    <t>CASCADE CREEK 697-16-27A</t>
  </si>
  <si>
    <t>CASCADE CREEK 697-16-27B</t>
  </si>
  <si>
    <t>CASCADE CREEK 697-16-42A</t>
  </si>
  <si>
    <t>CASCADE CREEK 697-17-56B</t>
  </si>
  <si>
    <t>CASCADE CREEK 697-17-64B</t>
  </si>
  <si>
    <t>LW 796-19-13B</t>
  </si>
  <si>
    <t>LW 797-23-45AX</t>
  </si>
  <si>
    <t>MCDANIEL 14-3B</t>
  </si>
  <si>
    <t>MCDANIEL 14-3C</t>
  </si>
  <si>
    <t>MCDANIEL 14-4A</t>
  </si>
  <si>
    <t>MCDANIEL 14-4B</t>
  </si>
  <si>
    <t>MCDANIEL 14-5A</t>
  </si>
  <si>
    <t>MCDANIEL 14-6A</t>
  </si>
  <si>
    <t>MCDANIEL 15-1A</t>
  </si>
  <si>
    <t>MCDANIEL 15-1C</t>
  </si>
  <si>
    <t xml:space="preserve">CASCADE CREEK 697-16-54B </t>
  </si>
  <si>
    <t xml:space="preserve">CASCADE CREEK 697-17-52 </t>
  </si>
  <si>
    <t>CASCADE CREEK 697-17-64B .2</t>
  </si>
  <si>
    <t>CASCADE CREEK 697-16-17A</t>
  </si>
  <si>
    <t>CASCADE CREEK 697-16-17B</t>
  </si>
  <si>
    <t>CASCADE CREEK 697-17-64B .8</t>
  </si>
  <si>
    <t>LW 796-17-30A</t>
  </si>
  <si>
    <t>MCDANIEL 11-10</t>
  </si>
  <si>
    <t>CASCADE CREEK 697-17-08B</t>
  </si>
  <si>
    <t>CASCADE CREEK 697-17-23A</t>
  </si>
  <si>
    <t>CASCADE CREEK 697-17-06A</t>
  </si>
  <si>
    <t>CASCADE CREEK 697-16-01</t>
  </si>
  <si>
    <t>CASCADE CREEK 697-17-08A</t>
  </si>
  <si>
    <t>CASCADE CREEK 697-16-09A</t>
  </si>
  <si>
    <t>CASCADE CREEK 697-16-09B</t>
  </si>
  <si>
    <t>HAWKINS RANCH 11-13C</t>
  </si>
  <si>
    <t>HAWKINS RANCH 14-3A</t>
  </si>
  <si>
    <t>HAWKINS RANCH 14-4A</t>
  </si>
  <si>
    <t>CASCADE CREEK 697-17-15</t>
  </si>
  <si>
    <t>CASCADE CREEK 697-08-62A</t>
  </si>
  <si>
    <t>CASCADE CREEK 697-08-64B</t>
  </si>
  <si>
    <t>CASCADE CREEK 697-17-14</t>
  </si>
  <si>
    <t>CASCADE CREEK 697-08-62B</t>
  </si>
  <si>
    <t>NICHOLS 24-12</t>
  </si>
  <si>
    <t xml:space="preserve">CASCADE CREEK 697-16-04 </t>
  </si>
  <si>
    <t>CASCADE CREEK 697-08-64A</t>
  </si>
  <si>
    <t>CASCADE CREEK 697-08-54B</t>
  </si>
  <si>
    <t>CASCADE CREEK 697-08-54A</t>
  </si>
  <si>
    <t>CASCADE CREEK 697-08-56A</t>
  </si>
  <si>
    <t>CASCADE CREEK 697-08-56B</t>
  </si>
  <si>
    <t>CASCADE CREEK 697-09-33B</t>
  </si>
  <si>
    <t>CASCADE CREEK 697-09-50A</t>
  </si>
  <si>
    <t>SHELL 697-34-16B</t>
  </si>
  <si>
    <t>SHELL 697-34-24</t>
  </si>
  <si>
    <t>SHELL 797-03-23A</t>
  </si>
  <si>
    <t>SHELL 797-03-23B</t>
  </si>
  <si>
    <t>SHELL 797-03-31A</t>
  </si>
  <si>
    <t>SHELL 797-03-31B</t>
  </si>
  <si>
    <t>CASCADE CREEK 697-10-59</t>
  </si>
  <si>
    <t>CASCADE CREEK 697-16-32</t>
  </si>
  <si>
    <t>CASCADE CREEK 697-15-25</t>
  </si>
  <si>
    <t>CASCADE CREEK 697-16-07</t>
  </si>
  <si>
    <t>CASCADE CREEK 697-15-03B</t>
  </si>
  <si>
    <t>CASCADE CREEK 697-09-33A</t>
  </si>
  <si>
    <t>CASCADE CREEK 697-09-50B</t>
  </si>
  <si>
    <t>CASCADE CREEK 697-09-58</t>
  </si>
  <si>
    <t>CASCADE CREEK 697-15-03A</t>
  </si>
  <si>
    <t>CASCADE CREEK 697-16-02B</t>
  </si>
  <si>
    <t>HELLS GULCH FEDERAL 25-05</t>
  </si>
  <si>
    <t>SHELL 797-03-15A</t>
  </si>
  <si>
    <t>SHELL 797-03-37</t>
  </si>
  <si>
    <t>SHELL 797-03-38</t>
  </si>
  <si>
    <t>SHELL 797-03-39B</t>
  </si>
  <si>
    <t>CASCADE CREEK 697-15-28A</t>
  </si>
  <si>
    <t>CASCADE CREEK 697-15-26</t>
  </si>
  <si>
    <t>CASCADE CREEK 697-15-19A</t>
  </si>
  <si>
    <t>CASCADE CREEK 697-15-11B</t>
  </si>
  <si>
    <t>CASCADE CREEK 697-15-11A</t>
  </si>
  <si>
    <t>CASCADE CREEK 697-10-50B</t>
  </si>
  <si>
    <t>SHELL 797-03-39A</t>
  </si>
  <si>
    <t>SHELL 797-03-15B</t>
  </si>
  <si>
    <t>CASCADE CREEK 697-10-50A</t>
  </si>
  <si>
    <t>MCDANIEL 11-09</t>
  </si>
  <si>
    <t>MCDANIEL 15-1B</t>
  </si>
  <si>
    <t>LOGAN WASH 796-17-30A.2</t>
  </si>
  <si>
    <t>LOGAN WASH 796-17-30A.6</t>
  </si>
  <si>
    <t>CASCADE CREEK 697-08-29B</t>
  </si>
  <si>
    <t>CASCADE CREEK 697-08-46B</t>
  </si>
  <si>
    <t>CASCADE CREEK 697-08-21</t>
  </si>
  <si>
    <t>CASCADE CREEK 697-08-37A</t>
  </si>
  <si>
    <t>CASCADE CREEK 697-08-29C</t>
  </si>
  <si>
    <t>CASCADE CREEK 697-08-20</t>
  </si>
  <si>
    <t>CASCADE CREEK 697-08-39</t>
  </si>
  <si>
    <t>CASCADE CREEK 697-08-31B</t>
  </si>
  <si>
    <t>CASCADE CREEK 697-08-29A</t>
  </si>
  <si>
    <t>CASCADE CREEK 697-08-37B</t>
  </si>
  <si>
    <t>CASCADE CREEK 697-08-23B</t>
  </si>
  <si>
    <t>CASCADE CREEK 697-08-31A</t>
  </si>
  <si>
    <t>CASCADE CREEK 697-08-45</t>
  </si>
  <si>
    <t>CASCADE CREEK 697-08-47B</t>
  </si>
  <si>
    <t>CASCADE CREEK 697-10-42B</t>
  </si>
  <si>
    <t>CASCADE CREEK 697-10-42C</t>
  </si>
  <si>
    <t>CASCADE CREEK 697-09-17A</t>
  </si>
  <si>
    <t>CASCADE CREEK 697-09-25B</t>
  </si>
  <si>
    <t>CASCADE CREEK 697-09-25A</t>
  </si>
  <si>
    <t>CASCADE CREEK 697-08-06A</t>
  </si>
  <si>
    <t>CASCADE CREEK 697-08-14</t>
  </si>
  <si>
    <t>CASCADE CREEK 697-09-17B</t>
  </si>
  <si>
    <t>CASCADE CREEK 697-08-47A</t>
  </si>
  <si>
    <t>CASCADE CREEK 697-08-06B</t>
  </si>
  <si>
    <t>TR72</t>
  </si>
  <si>
    <t>CASCADE CREEK 697-09-56B</t>
  </si>
  <si>
    <t>CASCADE CREEK 697-15-09B</t>
  </si>
  <si>
    <t>CASCADE CREEK 697-15-19B</t>
  </si>
  <si>
    <t>CASCADE CREEK 697-09-13</t>
  </si>
  <si>
    <t>CASCADE CREEK 697-05-71</t>
  </si>
  <si>
    <t>CASCADE CREEK 697-15-17A</t>
  </si>
  <si>
    <t>CASCADE CREEK 697-09-64A</t>
  </si>
  <si>
    <t>CASCADE CREEK 697-09-35A</t>
  </si>
  <si>
    <t>CASCADE CREEK 697-09-09</t>
  </si>
  <si>
    <t>CASCADE CREEK 697-09-19A</t>
  </si>
  <si>
    <t>CASCADE CREEK 697-09-10B</t>
  </si>
  <si>
    <t>CASCADE CREEK 697-09-35B</t>
  </si>
  <si>
    <t>CASCADE CREEK 697-10-58</t>
  </si>
  <si>
    <t>CASCADE CREEK 697-05-72</t>
  </si>
  <si>
    <t>CASCADE CREEK 697-09-27</t>
  </si>
  <si>
    <t>CASCADE CREEK 697-05-80A</t>
  </si>
  <si>
    <t>CASCADE CREEK 697-09-19B</t>
  </si>
  <si>
    <t>CASCADE CREEK 697-09-21B</t>
  </si>
  <si>
    <t>CASCADE CREEK 697-08-08B</t>
  </si>
  <si>
    <t>CASCADE CREEK 697-08-08A</t>
  </si>
  <si>
    <t>CASCADE CREEK 697-09-37B2</t>
  </si>
  <si>
    <t>CASCADE CREEK 697-09-21A</t>
  </si>
  <si>
    <t>CASCADE CREEK 697-05-80B</t>
  </si>
  <si>
    <t>CASCADE CREEK 697-09-23B</t>
  </si>
  <si>
    <t>CASCADE CREEK 697-09-29A</t>
  </si>
  <si>
    <t>CASCADE CREEK 697-09-23A</t>
  </si>
  <si>
    <t>CASCADE CREEK 697-09-02B</t>
  </si>
  <si>
    <t>CASCADE CREEK 697-09-15B</t>
  </si>
  <si>
    <t>CASCADE CREEK 697-09-37B-2</t>
  </si>
  <si>
    <t>CASCADE CREEK 697-05-69</t>
  </si>
  <si>
    <t>CASCADE CREEK 697-05-70</t>
  </si>
  <si>
    <t>CASCADE CREEK 697-05-78A</t>
  </si>
  <si>
    <t>CASCADE CREEK 697-05-78B</t>
  </si>
  <si>
    <t>CASCADE CREEK 697-08-16</t>
  </si>
  <si>
    <t>CASCADE CREEK 697-08-23A</t>
  </si>
  <si>
    <t>CASCADE CREEK 697-09-37A</t>
  </si>
  <si>
    <t>CASCADE CREEK 697-16-15C</t>
  </si>
  <si>
    <t>CASCADE CREEK 697-16-13A2</t>
  </si>
  <si>
    <t>CASCADE CREEK 697-16-23A</t>
  </si>
  <si>
    <t>CASCADE CREEK 697-16-29B</t>
  </si>
  <si>
    <t>CASCADE CREEK 697-09-48A</t>
  </si>
  <si>
    <t>CASCADE CREEK 697-09-29B</t>
  </si>
  <si>
    <t>CASCADE CREEK 697-09-10A</t>
  </si>
  <si>
    <t>CASCADE CREEK 697-09-46-2</t>
  </si>
  <si>
    <t>CASCADE CREEK 697-09-31A</t>
  </si>
  <si>
    <t>CASCADE CREEK 697-09-56A</t>
  </si>
  <si>
    <t>CASCADE CREEK 697-16-23B</t>
  </si>
  <si>
    <t>CASCADE CREEK 697-16-11B2</t>
  </si>
  <si>
    <t>CASCADE CREEK 697-09-40</t>
  </si>
  <si>
    <t>CASCADE CREEK 697-09-48B</t>
  </si>
  <si>
    <t>CASCADE CREEK 697-16-15B</t>
  </si>
  <si>
    <t>CASCADE CREEK 697-16-21B</t>
  </si>
  <si>
    <t>CASCADE CREEK 697-09-39</t>
  </si>
  <si>
    <t>CASCADE CREEK 697-08-58B</t>
  </si>
  <si>
    <t>CASCADE CREEK 697-08-52A</t>
  </si>
  <si>
    <t>CASCADE CREEK 697-08-52B</t>
  </si>
  <si>
    <t>CASCADE CREEK 697-09-31B</t>
  </si>
  <si>
    <t>CASCADE CREEK 697-08-58C</t>
  </si>
  <si>
    <t>CASCADE CREEK 697-08-58A</t>
  </si>
  <si>
    <t>CASCADE CREEK 697-08-43B</t>
  </si>
  <si>
    <t>CASCADE CREEK 697-08-43A</t>
  </si>
  <si>
    <t>CASCADE CREEK 697-08-41B</t>
  </si>
  <si>
    <t>CASCADE CREEK 697-08-41A</t>
  </si>
  <si>
    <t>CASCADE CREEK 697-08-35B</t>
  </si>
  <si>
    <t>CASCADE CREEK 697-08-35A</t>
  </si>
  <si>
    <t>CASCADE CREEK 697-08-33B</t>
  </si>
  <si>
    <t>CASCADE CREEK 697-08-27B</t>
  </si>
  <si>
    <t>CASCADE CREEK 697-08-27A</t>
  </si>
  <si>
    <t>CASCADE CREEK 697-08-50</t>
  </si>
  <si>
    <t>LOGAN WASH 796-19-13B  .33</t>
  </si>
  <si>
    <t>LOGAN WASH 796-19-13B  .34</t>
  </si>
  <si>
    <t>CASCADE CREEK 697-05-20A</t>
  </si>
  <si>
    <t>CASCADE CREEK 697-05-22A</t>
  </si>
  <si>
    <t>CASCADE CREEK 697-05-22B</t>
  </si>
  <si>
    <t>CASCADE CREEK 697-05-30A</t>
  </si>
  <si>
    <t>CASCADE CREEK 697-05-30B</t>
  </si>
  <si>
    <t>CASCADE CREEK 697-05-38A</t>
  </si>
  <si>
    <t>CASCADE CREEK 697-05-44</t>
  </si>
  <si>
    <t>CASCADE CREEK 697-05-47A</t>
  </si>
  <si>
    <t>CASCADE CREEK 697-08-49</t>
  </si>
  <si>
    <t>SHELL 797-09-12</t>
  </si>
  <si>
    <t>CASCADE CREEK 697-05-36B</t>
  </si>
  <si>
    <t>CASCADE CREEK 697-05-42</t>
  </si>
  <si>
    <t>CASCADE CREEK 697-05-45</t>
  </si>
  <si>
    <t>CASCADE CREEK 697-05-28A</t>
  </si>
  <si>
    <t>CASCADE CREEK 697-05-53B</t>
  </si>
  <si>
    <t>CASCADE CREEK 697-05-47B</t>
  </si>
  <si>
    <t>CASCADE CREEK 697-05-38B</t>
  </si>
  <si>
    <t>CASCADE CREEK 697-05-55B</t>
  </si>
  <si>
    <t>CASCADE CREEK 697-05-55A</t>
  </si>
  <si>
    <t>CASCADE CREEK 697-05-28B</t>
  </si>
  <si>
    <t>CASCADE CREEK 697-05-36A</t>
  </si>
  <si>
    <t>CASCADE CREEK 697-05-20B</t>
  </si>
  <si>
    <t>CASCADE CREEK 697-04-65B</t>
  </si>
  <si>
    <t>CASCADE CREEK 697-04-82</t>
  </si>
  <si>
    <t>CASCADE CREEK 697-05-43</t>
  </si>
  <si>
    <t>CASCADE CREEK 697-05-53A</t>
  </si>
  <si>
    <t>CASCADE CREEK 697-05-63A</t>
  </si>
  <si>
    <t>CASCADE CREEK 697-05-63B</t>
  </si>
  <si>
    <t>CASCADE CREEK 697-09-02A</t>
  </si>
  <si>
    <t>CASCADE CREEK 697-09-12</t>
  </si>
  <si>
    <t>MCDANIEL  14-4C</t>
  </si>
  <si>
    <t>BTU</t>
  </si>
  <si>
    <t>GRAVITY</t>
  </si>
  <si>
    <t>CASCADE CREEK 697-09-04A</t>
  </si>
  <si>
    <t>CASCADE CREEK 697-09-04B</t>
  </si>
  <si>
    <t>CASCADE CREEK 697-04-84B</t>
  </si>
  <si>
    <t>CASCADE CREEK 697-04-74A</t>
  </si>
  <si>
    <t>CASCADE CREEK 697-04-65A</t>
  </si>
  <si>
    <t>CASCADE CREEK 697-16-18D.5</t>
  </si>
  <si>
    <t>CASCADE CREEK 697-17-15.8</t>
  </si>
  <si>
    <t>CASCADE CREEK 697-17-15.2</t>
  </si>
  <si>
    <t>NBRR</t>
  </si>
  <si>
    <t>CASCADE CREEK 697-16-29A .6</t>
  </si>
  <si>
    <t>CASCADE CREEK 697-16-29A .4</t>
  </si>
  <si>
    <t>CASCADE CREEK 697-04-76B</t>
  </si>
  <si>
    <t>CASCADE CREEK 697-04-67</t>
  </si>
  <si>
    <t>CASCADE CREEK 697-04-59A</t>
  </si>
  <si>
    <t>CASCADE CREEK 697-04-68</t>
  </si>
  <si>
    <t>CASCADE CREEK 697-04-59B</t>
  </si>
  <si>
    <t>CASCADE CREEK 697-04-57B</t>
  </si>
  <si>
    <t>CASCADE CREEK 697-04-57A</t>
  </si>
  <si>
    <t>CASCADE CREEK 697-04-84A</t>
  </si>
  <si>
    <t>CASCADE CREEK 697-04-59C</t>
  </si>
  <si>
    <t>CASCADE CREEK 697-16-29A</t>
  </si>
  <si>
    <t>LOT 14</t>
  </si>
  <si>
    <t>CASCADE CREEK 697-04-76A</t>
  </si>
  <si>
    <t>CASCADE CREEK 697-08-18</t>
  </si>
  <si>
    <t>CASCADE CREEK 697-05-73</t>
  </si>
  <si>
    <t>CURRIER 26-14</t>
  </si>
  <si>
    <t>CASCADE CREEK 697-05-67B</t>
  </si>
  <si>
    <t>CASCADE CREEK 697-05-59</t>
  </si>
  <si>
    <t>CASCADE CREEK 697-08-10B</t>
  </si>
  <si>
    <t>CASCADE CREEK 697-05-74B</t>
  </si>
  <si>
    <t>CASCADE CREEK 697-08-04B</t>
  </si>
  <si>
    <t>SHELL 797-03-13</t>
  </si>
  <si>
    <t>TCT71</t>
  </si>
  <si>
    <t>SHELL 697-34-06</t>
  </si>
  <si>
    <t>SHELL 797-03-05</t>
  </si>
  <si>
    <t>SHELL 697-34-05</t>
  </si>
  <si>
    <t>SHELL 797-03-21B</t>
  </si>
  <si>
    <t>SHELL 797-03-13A</t>
  </si>
  <si>
    <t>CASCADE CREEK 697-05-76B</t>
  </si>
  <si>
    <t>CASCADE CREEK 697-05-57B</t>
  </si>
  <si>
    <t>CASCADE CREEK 697-05-51</t>
  </si>
  <si>
    <t>CASCADE CREEK 697-05-67A</t>
  </si>
  <si>
    <t>CASCADE CREEK 697-08-10A</t>
  </si>
  <si>
    <t>CASCADE CREEK 697-08-04A</t>
  </si>
  <si>
    <t>OIL GRAVITY</t>
  </si>
  <si>
    <t>CASCADE CREEK 697-05-61</t>
  </si>
  <si>
    <t>CASCADE CREEK 697-05-65</t>
  </si>
  <si>
    <t>CASCADE CREEK 697-05-74A</t>
  </si>
  <si>
    <t>CASCADE CREEK 697-05-76A</t>
  </si>
  <si>
    <t>TCT 71</t>
  </si>
  <si>
    <t>(RUN AVERAGE WEIGHTED CALC @ RUN TICKET REPORT</t>
  </si>
  <si>
    <t>CASCADE CREEK 609-02</t>
  </si>
  <si>
    <t>CASCADE CREEK 697-08-12A</t>
  </si>
  <si>
    <t>CASCADE CREEK 697-08-12B</t>
  </si>
  <si>
    <t>CASCADE CREEK 697-08-19</t>
  </si>
  <si>
    <t>CASCADE CREEK 697-08-33A</t>
  </si>
  <si>
    <t>CURREY A 15-04 (AXIA)</t>
  </si>
  <si>
    <t>CURREY A 15-4</t>
  </si>
  <si>
    <t>SHELL 797-03-08A</t>
  </si>
  <si>
    <t>SHELL 797-03-08B</t>
  </si>
  <si>
    <t>SHELL 797-03-16</t>
  </si>
  <si>
    <t>SHELL 797-03-21A</t>
  </si>
  <si>
    <t>SHELL 797-03-29A</t>
  </si>
  <si>
    <t>SHELL 797-03-29B</t>
  </si>
  <si>
    <t>SHELL 797-03-40</t>
  </si>
  <si>
    <t>CASCADE CREEK 697-08-02B</t>
  </si>
  <si>
    <t>TA</t>
  </si>
  <si>
    <t>CASCADE CREEK 697-08-02A</t>
  </si>
  <si>
    <t>CASCADE CREEK 697-17-52</t>
  </si>
  <si>
    <t>CASCADE CREEK 604-1  .2</t>
  </si>
  <si>
    <t>CASCADE CREEK 604-1  .6</t>
  </si>
  <si>
    <t xml:space="preserve">WMFK </t>
  </si>
  <si>
    <t xml:space="preserve">FTUN </t>
  </si>
  <si>
    <t xml:space="preserve">OHCRK </t>
  </si>
  <si>
    <t>CASCADE CREEK 697-16-04</t>
  </si>
  <si>
    <t>CASCADE CREEK 697-18-64B</t>
  </si>
  <si>
    <t>WSTC</t>
  </si>
  <si>
    <t>CASCADE CREEK 629-1 .34</t>
  </si>
  <si>
    <t>CASCADE CREEK 629-1 .33</t>
  </si>
  <si>
    <t>SHELL 797-09-HN1</t>
  </si>
  <si>
    <t>Tct 94</t>
  </si>
  <si>
    <t>HAWKINS RANCH 10-03</t>
  </si>
  <si>
    <t>SHEEP MOUNTAIN 0001-12B</t>
  </si>
  <si>
    <t>GARCIA 0001</t>
  </si>
  <si>
    <t>WSTCG</t>
  </si>
  <si>
    <t>SHEEP MOUNTAIN 0005-09-A</t>
  </si>
  <si>
    <t>SHEEP MOUNTAIN 0001-15C</t>
  </si>
  <si>
    <t>SHEEP MOUNTAIN 0004-23L</t>
  </si>
  <si>
    <t>ANDERSON RANCH 07-03</t>
  </si>
  <si>
    <t>CASCADE CREEK 604-01 SWD</t>
  </si>
  <si>
    <t>SPARKS 36-04</t>
  </si>
  <si>
    <t>HELLS GULCH FEDERAL 25-12</t>
  </si>
  <si>
    <t>HELLS GULCH FEDERAL 26-03B</t>
  </si>
  <si>
    <t>PA</t>
  </si>
</sst>
</file>

<file path=xl/styles.xml><?xml version="1.0" encoding="utf-8"?>
<styleSheet xmlns="http://schemas.openxmlformats.org/spreadsheetml/2006/main">
  <numFmts count="3">
    <numFmt numFmtId="164" formatCode="00000"/>
    <numFmt numFmtId="165" formatCode="mm"/>
    <numFmt numFmtId="166" formatCode="0.0"/>
  </numFmts>
  <fonts count="15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3" tint="0.39997558519241921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1"/>
      <color theme="9" tint="-0.499984740745262"/>
      <name val="Arial"/>
      <family val="2"/>
    </font>
    <font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14" fontId="2" fillId="2" borderId="0" xfId="0" applyNumberFormat="1" applyFont="1" applyFill="1"/>
    <xf numFmtId="0" fontId="3" fillId="0" borderId="0" xfId="0" applyFont="1"/>
    <xf numFmtId="2" fontId="0" fillId="0" borderId="0" xfId="0" applyNumberFormat="1"/>
    <xf numFmtId="1" fontId="0" fillId="0" borderId="0" xfId="0" applyNumberFormat="1"/>
    <xf numFmtId="14" fontId="0" fillId="0" borderId="0" xfId="0" applyNumberFormat="1"/>
    <xf numFmtId="14" fontId="5" fillId="0" borderId="0" xfId="0" applyNumberFormat="1" applyFont="1"/>
    <xf numFmtId="2" fontId="5" fillId="0" borderId="0" xfId="0" applyNumberFormat="1" applyFont="1"/>
    <xf numFmtId="2" fontId="2" fillId="0" borderId="0" xfId="0" applyNumberFormat="1" applyFont="1"/>
    <xf numFmtId="0" fontId="6" fillId="0" borderId="0" xfId="0" applyFont="1"/>
    <xf numFmtId="1" fontId="0" fillId="0" borderId="0" xfId="1" applyNumberFormat="1" applyFont="1"/>
    <xf numFmtId="1" fontId="2" fillId="0" borderId="0" xfId="1" applyNumberFormat="1" applyFont="1"/>
    <xf numFmtId="1" fontId="5" fillId="0" borderId="0" xfId="1" applyNumberFormat="1" applyFont="1"/>
    <xf numFmtId="165" fontId="3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/>
    </xf>
    <xf numFmtId="0" fontId="0" fillId="3" borderId="0" xfId="0" applyFill="1"/>
    <xf numFmtId="0" fontId="9" fillId="3" borderId="0" xfId="0" applyFont="1" applyFill="1"/>
    <xf numFmtId="0" fontId="10" fillId="0" borderId="0" xfId="0" applyFont="1"/>
    <xf numFmtId="14" fontId="10" fillId="0" borderId="0" xfId="0" applyNumberFormat="1" applyFont="1"/>
    <xf numFmtId="2" fontId="10" fillId="0" borderId="0" xfId="0" applyNumberFormat="1" applyFont="1"/>
    <xf numFmtId="1" fontId="10" fillId="0" borderId="0" xfId="1" applyNumberFormat="1" applyFont="1"/>
    <xf numFmtId="1" fontId="10" fillId="0" borderId="0" xfId="0" applyNumberFormat="1" applyFont="1"/>
    <xf numFmtId="1" fontId="9" fillId="3" borderId="0" xfId="0" applyNumberFormat="1" applyFont="1" applyFill="1"/>
    <xf numFmtId="0" fontId="11" fillId="0" borderId="0" xfId="0" applyFont="1" applyFill="1"/>
    <xf numFmtId="164" fontId="11" fillId="0" borderId="0" xfId="0" applyNumberFormat="1" applyFont="1" applyFill="1"/>
    <xf numFmtId="1" fontId="11" fillId="0" borderId="0" xfId="0" applyNumberFormat="1" applyFont="1" applyFill="1"/>
    <xf numFmtId="1" fontId="12" fillId="0" borderId="0" xfId="0" applyNumberFormat="1" applyFont="1" applyFill="1"/>
    <xf numFmtId="166" fontId="11" fillId="0" borderId="0" xfId="0" applyNumberFormat="1" applyFont="1" applyFill="1"/>
    <xf numFmtId="14" fontId="11" fillId="0" borderId="0" xfId="0" applyNumberFormat="1" applyFont="1" applyFill="1"/>
    <xf numFmtId="0" fontId="12" fillId="0" borderId="0" xfId="0" applyFont="1" applyFill="1"/>
    <xf numFmtId="164" fontId="12" fillId="0" borderId="0" xfId="0" applyNumberFormat="1" applyFont="1" applyFill="1"/>
    <xf numFmtId="166" fontId="12" fillId="0" borderId="0" xfId="0" applyNumberFormat="1" applyFont="1" applyFill="1"/>
    <xf numFmtId="14" fontId="12" fillId="0" borderId="0" xfId="0" applyNumberFormat="1" applyFont="1" applyFill="1"/>
    <xf numFmtId="1" fontId="13" fillId="0" borderId="0" xfId="0" applyNumberFormat="1" applyFont="1" applyFill="1"/>
    <xf numFmtId="0" fontId="1" fillId="0" borderId="0" xfId="0" applyFont="1"/>
    <xf numFmtId="14" fontId="1" fillId="0" borderId="0" xfId="0" applyNumberFormat="1" applyFont="1"/>
    <xf numFmtId="2" fontId="1" fillId="0" borderId="0" xfId="0" applyNumberFormat="1" applyFont="1"/>
    <xf numFmtId="1" fontId="1" fillId="0" borderId="0" xfId="1" applyNumberFormat="1" applyFont="1"/>
    <xf numFmtId="1" fontId="1" fillId="0" borderId="0" xfId="0" applyNumberFormat="1" applyFont="1"/>
    <xf numFmtId="0" fontId="10" fillId="3" borderId="0" xfId="0" applyFont="1" applyFill="1"/>
    <xf numFmtId="14" fontId="10" fillId="3" borderId="0" xfId="0" applyNumberFormat="1" applyFont="1" applyFill="1"/>
    <xf numFmtId="2" fontId="10" fillId="3" borderId="0" xfId="0" applyNumberFormat="1" applyFont="1" applyFill="1"/>
    <xf numFmtId="1" fontId="10" fillId="3" borderId="0" xfId="1" applyNumberFormat="1" applyFont="1" applyFill="1"/>
    <xf numFmtId="1" fontId="10" fillId="3" borderId="0" xfId="0" applyNumberFormat="1" applyFont="1" applyFill="1"/>
    <xf numFmtId="0" fontId="14" fillId="0" borderId="0" xfId="0" applyFont="1"/>
    <xf numFmtId="14" fontId="14" fillId="0" borderId="0" xfId="0" applyNumberFormat="1" applyFont="1"/>
    <xf numFmtId="2" fontId="14" fillId="0" borderId="0" xfId="0" applyNumberFormat="1" applyFont="1"/>
    <xf numFmtId="1" fontId="14" fillId="0" borderId="0" xfId="1" applyNumberFormat="1" applyFont="1"/>
    <xf numFmtId="1" fontId="14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9"/>
  <sheetViews>
    <sheetView zoomScaleNormal="100" workbookViewId="0">
      <selection activeCell="G13" sqref="G13"/>
    </sheetView>
  </sheetViews>
  <sheetFormatPr defaultRowHeight="12.75"/>
  <cols>
    <col min="1" max="1" width="26.5703125" bestFit="1" customWidth="1"/>
    <col min="2" max="2" width="13.85546875" customWidth="1"/>
    <col min="3" max="3" width="11" hidden="1" customWidth="1"/>
    <col min="4" max="4" width="10.140625" bestFit="1" customWidth="1"/>
  </cols>
  <sheetData>
    <row r="1" spans="1:8">
      <c r="E1" s="17" t="s">
        <v>957</v>
      </c>
      <c r="F1" s="16" t="s">
        <v>958</v>
      </c>
    </row>
    <row r="2" spans="1:8">
      <c r="A2" s="2" t="s">
        <v>1</v>
      </c>
      <c r="B2" s="3">
        <v>42309</v>
      </c>
      <c r="C2" t="str">
        <f>TEXT(B2,"dd-mmm-yyyy")</f>
        <v>01-Nov-2015</v>
      </c>
      <c r="D2" s="7"/>
      <c r="E2" s="25">
        <v>1080</v>
      </c>
      <c r="F2" s="19">
        <v>55.9</v>
      </c>
      <c r="G2" s="16" t="s">
        <v>1009</v>
      </c>
    </row>
    <row r="3" spans="1:8">
      <c r="A3" s="2" t="s">
        <v>2</v>
      </c>
      <c r="B3" s="3">
        <v>42338</v>
      </c>
      <c r="C3" t="str">
        <f>TEXT(B3,"dd-mmm-yyyy")</f>
        <v>30-Nov-2015</v>
      </c>
      <c r="D3" s="4"/>
      <c r="E3" s="15"/>
      <c r="F3" s="4"/>
      <c r="G3" s="4"/>
      <c r="H3" s="4"/>
    </row>
    <row r="4" spans="1:8" hidden="1">
      <c r="A4" s="2" t="s">
        <v>0</v>
      </c>
      <c r="B4" t="s">
        <v>5</v>
      </c>
    </row>
    <row r="5" spans="1:8">
      <c r="A5" s="2" t="s">
        <v>4</v>
      </c>
      <c r="B5" t="s">
        <v>11</v>
      </c>
    </row>
    <row r="6" spans="1:8">
      <c r="F6" s="18"/>
    </row>
    <row r="7" spans="1:8">
      <c r="F7" s="18"/>
    </row>
    <row r="8" spans="1:8">
      <c r="F8" s="18"/>
    </row>
    <row r="9" spans="1:8">
      <c r="A9" t="s">
        <v>665</v>
      </c>
      <c r="F9" s="18"/>
    </row>
  </sheetData>
  <phoneticPr fontId="4" type="noConversion"/>
  <dataValidations disablePrompts="1" count="1">
    <dataValidation type="list" allowBlank="1" showInputMessage="1" showErrorMessage="1" promptTitle="Select Database" prompt="Please Select Database from Dropdown list." sqref="B5">
      <formula1>Databases</formula1>
    </dataValidation>
  </dataValidations>
  <pageMargins left="0.75" right="0.75" top="1" bottom="1" header="0.5" footer="0.5"/>
  <pageSetup orientation="portrait" r:id="rId1"/>
  <headerFooter alignWithMargins="0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N1669"/>
  <sheetViews>
    <sheetView view="pageBreakPreview" topLeftCell="A844" zoomScale="120" zoomScaleNormal="100" zoomScaleSheetLayoutView="120" workbookViewId="0">
      <pane xSplit="2" topLeftCell="G1" activePane="topRight" state="frozen"/>
      <selection activeCell="A27" sqref="A27"/>
      <selection pane="topRight" activeCell="J852" sqref="J852"/>
    </sheetView>
  </sheetViews>
  <sheetFormatPr defaultRowHeight="12.75"/>
  <cols>
    <col min="1" max="1" width="29.42578125" bestFit="1" customWidth="1"/>
    <col min="2" max="2" width="37.28515625" bestFit="1" customWidth="1"/>
    <col min="3" max="3" width="19.42578125" bestFit="1" customWidth="1"/>
    <col min="4" max="4" width="18.85546875" style="5" bestFit="1" customWidth="1"/>
    <col min="5" max="5" width="16.42578125" style="12" customWidth="1"/>
    <col min="6" max="6" width="12.7109375" style="6" bestFit="1" customWidth="1"/>
    <col min="7" max="7" width="16" style="6" bestFit="1" customWidth="1"/>
    <col min="8" max="8" width="18" style="6" bestFit="1" customWidth="1"/>
    <col min="9" max="9" width="17.140625" style="6" bestFit="1" customWidth="1"/>
    <col min="10" max="10" width="17.85546875" style="6" bestFit="1" customWidth="1"/>
    <col min="11" max="11" width="16.28515625" style="6" bestFit="1" customWidth="1"/>
    <col min="12" max="12" width="18.42578125" style="6" bestFit="1" customWidth="1"/>
    <col min="13" max="13" width="16.5703125" style="6" bestFit="1" customWidth="1"/>
    <col min="14" max="14" width="20.28515625" customWidth="1"/>
  </cols>
  <sheetData>
    <row r="2" spans="1:14">
      <c r="A2" s="1" t="s">
        <v>225</v>
      </c>
      <c r="B2" s="1"/>
      <c r="C2" s="1"/>
    </row>
    <row r="3" spans="1:14">
      <c r="E3" s="12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6">
        <v>14</v>
      </c>
    </row>
    <row r="4" spans="1:14">
      <c r="A4" s="1" t="s">
        <v>35</v>
      </c>
      <c r="B4" s="1" t="s">
        <v>216</v>
      </c>
      <c r="C4" s="1" t="s">
        <v>217</v>
      </c>
      <c r="D4" s="10" t="s">
        <v>664</v>
      </c>
      <c r="E4" s="13" t="s">
        <v>45</v>
      </c>
      <c r="F4" s="13" t="s">
        <v>218</v>
      </c>
      <c r="G4" s="13" t="s">
        <v>219</v>
      </c>
      <c r="H4" s="13" t="s">
        <v>226</v>
      </c>
      <c r="I4" s="13" t="s">
        <v>220</v>
      </c>
      <c r="J4" s="13" t="s">
        <v>221</v>
      </c>
      <c r="K4" s="13" t="s">
        <v>222</v>
      </c>
      <c r="L4" s="13" t="s">
        <v>223</v>
      </c>
      <c r="M4" s="13" t="s">
        <v>49</v>
      </c>
      <c r="N4" s="13" t="s">
        <v>224</v>
      </c>
    </row>
    <row r="5" spans="1:14">
      <c r="A5">
        <v>8463</v>
      </c>
      <c r="B5" t="s">
        <v>312</v>
      </c>
      <c r="C5" s="8">
        <v>42338</v>
      </c>
      <c r="D5" s="9">
        <v>30</v>
      </c>
      <c r="E5" s="14">
        <v>62.673999999999999</v>
      </c>
      <c r="F5" s="6">
        <v>0.39800000000000002</v>
      </c>
      <c r="G5" s="6">
        <v>0.34699999999999998</v>
      </c>
      <c r="H5" s="6">
        <v>415.53899999999999</v>
      </c>
      <c r="I5" s="6">
        <v>720.28</v>
      </c>
      <c r="J5" s="6">
        <v>0.01</v>
      </c>
      <c r="K5" s="6">
        <v>304.73099999999999</v>
      </c>
      <c r="L5" s="6">
        <v>0</v>
      </c>
      <c r="M5" s="6">
        <v>62.622999999999998</v>
      </c>
      <c r="N5">
        <v>1.0369999999999999</v>
      </c>
    </row>
    <row r="6" spans="1:14">
      <c r="A6">
        <v>9094</v>
      </c>
      <c r="B6" t="s">
        <v>313</v>
      </c>
      <c r="C6" s="7">
        <v>42338</v>
      </c>
      <c r="D6" s="5">
        <v>27</v>
      </c>
      <c r="E6" s="12">
        <v>24.503</v>
      </c>
      <c r="F6" s="6">
        <v>0.84</v>
      </c>
      <c r="G6" s="6">
        <v>6.4260000000000002</v>
      </c>
      <c r="H6" s="6">
        <v>1583.3889999999999</v>
      </c>
      <c r="I6" s="6">
        <v>2005.03</v>
      </c>
      <c r="J6" s="6">
        <v>52.66</v>
      </c>
      <c r="K6" s="6">
        <v>368.98099999999999</v>
      </c>
      <c r="L6" s="6">
        <v>52.66</v>
      </c>
      <c r="M6" s="6">
        <v>30.088999999999999</v>
      </c>
      <c r="N6">
        <v>231.46600000000001</v>
      </c>
    </row>
    <row r="7" spans="1:14">
      <c r="A7">
        <v>9107</v>
      </c>
      <c r="B7" t="s">
        <v>314</v>
      </c>
      <c r="C7" s="7">
        <v>42338</v>
      </c>
      <c r="D7" s="5">
        <v>30</v>
      </c>
      <c r="E7" s="12">
        <v>21.533000000000001</v>
      </c>
      <c r="F7" s="6">
        <v>2.1230000000000002</v>
      </c>
      <c r="G7" s="6">
        <v>2.3460000000000001</v>
      </c>
      <c r="H7" s="6">
        <v>3082.5140000000001</v>
      </c>
      <c r="I7" s="6">
        <v>3533.97</v>
      </c>
      <c r="J7" s="6">
        <v>0</v>
      </c>
      <c r="K7" s="6">
        <v>451.45600000000002</v>
      </c>
      <c r="L7" s="6">
        <v>0</v>
      </c>
      <c r="M7" s="6">
        <v>21.756</v>
      </c>
      <c r="N7">
        <v>7.694</v>
      </c>
    </row>
    <row r="8" spans="1:14">
      <c r="A8">
        <v>9106</v>
      </c>
      <c r="B8" t="s">
        <v>315</v>
      </c>
      <c r="C8" s="7">
        <v>42338</v>
      </c>
      <c r="D8" s="5">
        <v>30</v>
      </c>
      <c r="E8" s="12">
        <v>9.3689999999999998</v>
      </c>
      <c r="F8" s="6">
        <v>0.99399999999999999</v>
      </c>
      <c r="G8" s="6">
        <v>0.879</v>
      </c>
      <c r="H8" s="6">
        <v>1154.4849999999999</v>
      </c>
      <c r="I8" s="6">
        <v>1324.03</v>
      </c>
      <c r="J8" s="6">
        <v>0</v>
      </c>
      <c r="K8" s="6">
        <v>169.54499999999999</v>
      </c>
      <c r="L8" s="6">
        <v>0</v>
      </c>
      <c r="M8" s="6">
        <v>9.2539999999999996</v>
      </c>
      <c r="N8">
        <v>2.8820000000000001</v>
      </c>
    </row>
    <row r="9" spans="1:14">
      <c r="A9">
        <v>9105</v>
      </c>
      <c r="B9" t="s">
        <v>316</v>
      </c>
      <c r="C9" s="7">
        <v>42338</v>
      </c>
      <c r="D9" s="5">
        <v>30</v>
      </c>
      <c r="E9" s="12">
        <v>19.62</v>
      </c>
      <c r="F9" s="6">
        <v>0.98799999999999999</v>
      </c>
      <c r="G9" s="6">
        <v>14.113</v>
      </c>
      <c r="H9" s="6">
        <v>3477.2950000000001</v>
      </c>
      <c r="I9" s="6">
        <v>3774.63</v>
      </c>
      <c r="J9" s="6">
        <v>0</v>
      </c>
      <c r="K9" s="6">
        <v>297.33499999999998</v>
      </c>
      <c r="L9" s="6">
        <v>0</v>
      </c>
      <c r="M9" s="6">
        <v>32.744999999999997</v>
      </c>
      <c r="N9">
        <v>508.32799999999997</v>
      </c>
    </row>
    <row r="10" spans="1:14">
      <c r="A10">
        <v>8219</v>
      </c>
      <c r="B10" t="s">
        <v>1047</v>
      </c>
      <c r="C10" s="7">
        <v>42338</v>
      </c>
      <c r="D10" s="5">
        <v>30</v>
      </c>
      <c r="E10" s="12">
        <v>0</v>
      </c>
      <c r="F10" s="6">
        <v>0</v>
      </c>
      <c r="G10" s="6">
        <v>0</v>
      </c>
      <c r="H10" s="6">
        <v>0</v>
      </c>
      <c r="I10" s="6">
        <v>7</v>
      </c>
      <c r="J10" s="6">
        <v>0</v>
      </c>
      <c r="K10" s="6">
        <v>7</v>
      </c>
      <c r="L10" s="6">
        <v>0</v>
      </c>
      <c r="M10" s="6">
        <v>0</v>
      </c>
      <c r="N10">
        <v>0</v>
      </c>
    </row>
    <row r="11" spans="1:14">
      <c r="A11">
        <v>8972</v>
      </c>
      <c r="B11" t="s">
        <v>317</v>
      </c>
      <c r="C11" s="7">
        <v>42338</v>
      </c>
      <c r="D11" s="5">
        <v>30</v>
      </c>
      <c r="E11" s="12">
        <v>23.276</v>
      </c>
      <c r="F11" s="6">
        <v>0.56999999999999995</v>
      </c>
      <c r="G11" s="6">
        <v>0.88900000000000001</v>
      </c>
      <c r="H11" s="6">
        <v>1526.1659999999999</v>
      </c>
      <c r="I11" s="6">
        <v>1713.03</v>
      </c>
      <c r="J11" s="6">
        <v>0</v>
      </c>
      <c r="K11" s="6">
        <v>186.864</v>
      </c>
      <c r="L11" s="6">
        <v>0</v>
      </c>
      <c r="M11" s="6">
        <v>23.594999999999999</v>
      </c>
      <c r="N11">
        <v>6.1779999999999999</v>
      </c>
    </row>
    <row r="12" spans="1:14">
      <c r="A12">
        <v>8971</v>
      </c>
      <c r="B12" t="s">
        <v>318</v>
      </c>
      <c r="C12" s="7">
        <v>42338</v>
      </c>
      <c r="D12" s="5">
        <v>30</v>
      </c>
      <c r="E12" s="12">
        <v>30.015999999999998</v>
      </c>
      <c r="F12" s="6">
        <v>0.80600000000000005</v>
      </c>
      <c r="G12" s="6">
        <v>0.95299999999999996</v>
      </c>
      <c r="H12" s="6">
        <v>1638.0409999999999</v>
      </c>
      <c r="I12" s="6">
        <v>2006.67</v>
      </c>
      <c r="J12" s="6">
        <v>0</v>
      </c>
      <c r="K12" s="6">
        <v>368.62900000000002</v>
      </c>
      <c r="L12" s="6">
        <v>0</v>
      </c>
      <c r="M12" s="6">
        <v>30.163</v>
      </c>
      <c r="N12">
        <v>6.6319999999999997</v>
      </c>
    </row>
    <row r="13" spans="1:14">
      <c r="A13">
        <v>8970</v>
      </c>
      <c r="B13" t="s">
        <v>319</v>
      </c>
      <c r="C13" s="7">
        <v>42338</v>
      </c>
      <c r="D13" s="5">
        <v>30</v>
      </c>
      <c r="E13" s="12">
        <v>36.08</v>
      </c>
      <c r="F13" s="6">
        <v>0.98299999999999998</v>
      </c>
      <c r="G13" s="6">
        <v>2.4420000000000002</v>
      </c>
      <c r="H13" s="6">
        <v>1754.664</v>
      </c>
      <c r="I13" s="6">
        <v>1953.92</v>
      </c>
      <c r="J13" s="6">
        <v>0.28999999999999998</v>
      </c>
      <c r="K13" s="6">
        <v>198.96600000000001</v>
      </c>
      <c r="L13" s="6">
        <v>0</v>
      </c>
      <c r="M13" s="6">
        <v>37.539000000000001</v>
      </c>
      <c r="N13">
        <v>39.764000000000003</v>
      </c>
    </row>
    <row r="14" spans="1:14">
      <c r="A14">
        <v>8969</v>
      </c>
      <c r="B14" t="s">
        <v>320</v>
      </c>
      <c r="C14" s="7">
        <v>42338</v>
      </c>
      <c r="D14" s="5">
        <v>30</v>
      </c>
      <c r="E14" s="12">
        <v>22.324999999999999</v>
      </c>
      <c r="F14" s="6">
        <v>0.53800000000000003</v>
      </c>
      <c r="G14" s="6">
        <v>1.544</v>
      </c>
      <c r="H14" s="6">
        <v>1109.3430000000001</v>
      </c>
      <c r="I14" s="6">
        <v>1274.31</v>
      </c>
      <c r="J14" s="6">
        <v>0.18</v>
      </c>
      <c r="K14" s="6">
        <v>164.78700000000001</v>
      </c>
      <c r="L14" s="6">
        <v>0</v>
      </c>
      <c r="M14" s="6">
        <v>23.331</v>
      </c>
      <c r="N14">
        <v>25.14</v>
      </c>
    </row>
    <row r="15" spans="1:14">
      <c r="A15">
        <v>8968</v>
      </c>
      <c r="B15" t="s">
        <v>321</v>
      </c>
      <c r="C15" s="7">
        <v>42338</v>
      </c>
      <c r="D15" s="5">
        <v>30</v>
      </c>
      <c r="E15" s="12">
        <v>28.952999999999999</v>
      </c>
      <c r="F15" s="6">
        <v>0.628</v>
      </c>
      <c r="G15" s="6">
        <v>1.746</v>
      </c>
      <c r="H15" s="6">
        <v>1255.2170000000001</v>
      </c>
      <c r="I15" s="6">
        <v>1607.25</v>
      </c>
      <c r="J15" s="6">
        <v>0.21</v>
      </c>
      <c r="K15" s="6">
        <v>351.82299999999998</v>
      </c>
      <c r="L15" s="6">
        <v>0</v>
      </c>
      <c r="M15" s="6">
        <v>30.071000000000002</v>
      </c>
      <c r="N15">
        <v>28.446999999999999</v>
      </c>
    </row>
    <row r="16" spans="1:14">
      <c r="A16">
        <v>9005</v>
      </c>
      <c r="B16" t="s">
        <v>322</v>
      </c>
      <c r="C16" s="7">
        <v>42338</v>
      </c>
      <c r="D16" s="5">
        <v>30</v>
      </c>
      <c r="E16" s="12">
        <v>20.931000000000001</v>
      </c>
      <c r="F16" s="6">
        <v>0.85</v>
      </c>
      <c r="G16" s="6">
        <v>2.0760000000000001</v>
      </c>
      <c r="H16" s="6">
        <v>1612.684</v>
      </c>
      <c r="I16" s="6">
        <v>1804.36</v>
      </c>
      <c r="J16" s="6">
        <v>0.23</v>
      </c>
      <c r="K16" s="6">
        <v>191.446</v>
      </c>
      <c r="L16" s="6">
        <v>0</v>
      </c>
      <c r="M16" s="6">
        <v>22.157</v>
      </c>
      <c r="N16">
        <v>35.567999999999998</v>
      </c>
    </row>
    <row r="17" spans="1:14">
      <c r="A17">
        <v>9004</v>
      </c>
      <c r="B17" t="s">
        <v>323</v>
      </c>
      <c r="C17" s="7">
        <v>42338</v>
      </c>
      <c r="D17" s="5">
        <v>30</v>
      </c>
      <c r="E17" s="12">
        <v>31.626999999999999</v>
      </c>
      <c r="F17" s="6">
        <v>1.262</v>
      </c>
      <c r="G17" s="6">
        <v>3.2850000000000001</v>
      </c>
      <c r="H17" s="6">
        <v>2551.2710000000002</v>
      </c>
      <c r="I17" s="6">
        <v>2792.8</v>
      </c>
      <c r="J17" s="6">
        <v>0.37</v>
      </c>
      <c r="K17" s="6">
        <v>241.15899999999999</v>
      </c>
      <c r="L17" s="6">
        <v>0</v>
      </c>
      <c r="M17" s="6">
        <v>33.65</v>
      </c>
      <c r="N17">
        <v>56.265999999999998</v>
      </c>
    </row>
    <row r="18" spans="1:14">
      <c r="A18">
        <v>8987</v>
      </c>
      <c r="B18" t="s">
        <v>324</v>
      </c>
      <c r="C18" s="7">
        <v>42338</v>
      </c>
      <c r="D18" s="5">
        <v>30</v>
      </c>
      <c r="E18" s="12">
        <v>60.374000000000002</v>
      </c>
      <c r="F18" s="6">
        <v>1.0289999999999999</v>
      </c>
      <c r="G18" s="6">
        <v>7.8819999999999997</v>
      </c>
      <c r="H18" s="6">
        <v>2066.9250000000002</v>
      </c>
      <c r="I18" s="6">
        <v>2283.79</v>
      </c>
      <c r="J18" s="6">
        <v>1.36</v>
      </c>
      <c r="K18" s="6">
        <v>215.505</v>
      </c>
      <c r="L18" s="6">
        <v>0</v>
      </c>
      <c r="M18" s="6">
        <v>67.227000000000004</v>
      </c>
      <c r="N18">
        <v>86.367999999999995</v>
      </c>
    </row>
    <row r="19" spans="1:14">
      <c r="A19">
        <v>8986</v>
      </c>
      <c r="B19" t="s">
        <v>325</v>
      </c>
      <c r="C19" s="7">
        <v>42338</v>
      </c>
      <c r="D19" s="5">
        <v>30</v>
      </c>
      <c r="E19" s="12">
        <v>46.188000000000002</v>
      </c>
      <c r="F19" s="6">
        <v>0.54500000000000004</v>
      </c>
      <c r="G19" s="6">
        <v>0.67300000000000004</v>
      </c>
      <c r="H19" s="6">
        <v>1155.499</v>
      </c>
      <c r="I19" s="6">
        <v>1322.73</v>
      </c>
      <c r="J19" s="6">
        <v>0</v>
      </c>
      <c r="K19" s="6">
        <v>167.23099999999999</v>
      </c>
      <c r="L19" s="6">
        <v>0</v>
      </c>
      <c r="M19" s="6">
        <v>46.316000000000003</v>
      </c>
      <c r="N19">
        <v>4.6779999999999999</v>
      </c>
    </row>
    <row r="20" spans="1:14">
      <c r="A20">
        <v>8985</v>
      </c>
      <c r="B20" t="s">
        <v>326</v>
      </c>
      <c r="C20" s="7">
        <v>42338</v>
      </c>
      <c r="D20" s="5">
        <v>30</v>
      </c>
      <c r="E20" s="12">
        <v>91.165999999999997</v>
      </c>
      <c r="F20" s="6">
        <v>0.51400000000000001</v>
      </c>
      <c r="G20" s="6">
        <v>0.60599999999999998</v>
      </c>
      <c r="H20" s="6">
        <v>1040.7750000000001</v>
      </c>
      <c r="I20" s="6">
        <v>1201.93</v>
      </c>
      <c r="J20" s="6">
        <v>0</v>
      </c>
      <c r="K20" s="6">
        <v>161.155</v>
      </c>
      <c r="L20" s="6">
        <v>0</v>
      </c>
      <c r="M20" s="6">
        <v>91.257999999999996</v>
      </c>
      <c r="N20">
        <v>4.2130000000000001</v>
      </c>
    </row>
    <row r="21" spans="1:14">
      <c r="A21">
        <v>8696</v>
      </c>
      <c r="B21" t="s">
        <v>327</v>
      </c>
      <c r="C21" s="7">
        <v>42338</v>
      </c>
      <c r="D21" s="5">
        <v>29</v>
      </c>
      <c r="E21" s="12">
        <v>25.449000000000002</v>
      </c>
      <c r="F21" s="6">
        <v>0.183</v>
      </c>
      <c r="G21" s="6">
        <v>0.24299999999999999</v>
      </c>
      <c r="H21" s="6">
        <v>418.81700000000001</v>
      </c>
      <c r="I21" s="6">
        <v>582.03</v>
      </c>
      <c r="J21" s="6">
        <v>0</v>
      </c>
      <c r="K21" s="6">
        <v>163.21299999999999</v>
      </c>
      <c r="L21" s="6">
        <v>0</v>
      </c>
      <c r="M21" s="6">
        <v>25.509</v>
      </c>
      <c r="N21">
        <v>1.696</v>
      </c>
    </row>
    <row r="22" spans="1:14">
      <c r="A22">
        <v>8842</v>
      </c>
      <c r="B22" t="s">
        <v>328</v>
      </c>
      <c r="C22" s="7">
        <v>42338</v>
      </c>
      <c r="D22" s="5">
        <v>18</v>
      </c>
      <c r="E22" s="12">
        <v>27.498000000000001</v>
      </c>
      <c r="F22" s="6">
        <v>0.40600000000000003</v>
      </c>
      <c r="G22" s="6">
        <v>3.6999999999999998E-2</v>
      </c>
      <c r="H22" s="6">
        <v>63.344999999999999</v>
      </c>
      <c r="I22" s="6">
        <v>207.73</v>
      </c>
      <c r="J22" s="6">
        <v>0</v>
      </c>
      <c r="K22" s="6">
        <v>144.38499999999999</v>
      </c>
      <c r="L22" s="6">
        <v>0</v>
      </c>
      <c r="M22" s="6">
        <v>27.129000000000001</v>
      </c>
      <c r="N22">
        <v>0.25700000000000001</v>
      </c>
    </row>
    <row r="23" spans="1:14">
      <c r="A23">
        <v>8860</v>
      </c>
      <c r="B23" t="s">
        <v>329</v>
      </c>
      <c r="C23" s="7">
        <v>42338</v>
      </c>
      <c r="D23" s="5">
        <v>30</v>
      </c>
      <c r="E23" s="12">
        <v>12.14</v>
      </c>
      <c r="F23" s="6">
        <v>0.56899999999999995</v>
      </c>
      <c r="G23" s="6">
        <v>0.63600000000000001</v>
      </c>
      <c r="H23" s="6">
        <v>1092.7239999999999</v>
      </c>
      <c r="I23" s="6">
        <v>1291.6300000000001</v>
      </c>
      <c r="J23" s="6">
        <v>0</v>
      </c>
      <c r="K23" s="6">
        <v>198.90600000000001</v>
      </c>
      <c r="L23" s="6">
        <v>0</v>
      </c>
      <c r="M23" s="6">
        <v>12.207000000000001</v>
      </c>
      <c r="N23">
        <v>4.423</v>
      </c>
    </row>
    <row r="24" spans="1:14">
      <c r="A24">
        <v>8841</v>
      </c>
      <c r="B24" t="s">
        <v>330</v>
      </c>
      <c r="C24" s="7">
        <v>42338</v>
      </c>
      <c r="D24" s="5">
        <v>30</v>
      </c>
      <c r="E24" s="12">
        <v>14.724</v>
      </c>
      <c r="F24" s="6">
        <v>0.439</v>
      </c>
      <c r="G24" s="6">
        <v>0.51800000000000002</v>
      </c>
      <c r="H24" s="6">
        <v>891.10299999999995</v>
      </c>
      <c r="I24" s="6">
        <v>1223.06</v>
      </c>
      <c r="J24" s="6">
        <v>0</v>
      </c>
      <c r="K24" s="6">
        <v>331.95699999999999</v>
      </c>
      <c r="L24" s="6">
        <v>0</v>
      </c>
      <c r="M24" s="6">
        <v>14.803000000000001</v>
      </c>
      <c r="N24">
        <v>3.6070000000000002</v>
      </c>
    </row>
    <row r="25" spans="1:14">
      <c r="A25">
        <v>8992</v>
      </c>
      <c r="B25" t="s">
        <v>331</v>
      </c>
      <c r="C25" s="7">
        <v>42338</v>
      </c>
      <c r="D25" s="5">
        <v>30</v>
      </c>
      <c r="E25" s="12">
        <v>67.150999999999996</v>
      </c>
      <c r="F25" s="6">
        <v>1.452</v>
      </c>
      <c r="G25" s="6">
        <v>6.9130000000000003</v>
      </c>
      <c r="H25" s="6">
        <v>2568.683</v>
      </c>
      <c r="I25" s="6">
        <v>2817.04</v>
      </c>
      <c r="J25" s="6">
        <v>1.01</v>
      </c>
      <c r="K25" s="6">
        <v>247.34700000000001</v>
      </c>
      <c r="L25" s="6">
        <v>0</v>
      </c>
      <c r="M25" s="6">
        <v>72.611999999999995</v>
      </c>
      <c r="N25">
        <v>183.94200000000001</v>
      </c>
    </row>
    <row r="26" spans="1:14">
      <c r="A26">
        <v>8993</v>
      </c>
      <c r="B26" t="s">
        <v>332</v>
      </c>
      <c r="C26" s="7">
        <v>42338</v>
      </c>
      <c r="D26" s="5">
        <v>30</v>
      </c>
      <c r="E26" s="12">
        <v>34.470999999999997</v>
      </c>
      <c r="F26" s="6">
        <v>0.751</v>
      </c>
      <c r="G26" s="6">
        <v>2.37</v>
      </c>
      <c r="H26" s="6">
        <v>887.19100000000003</v>
      </c>
      <c r="I26" s="6">
        <v>1218.22</v>
      </c>
      <c r="J26" s="6">
        <v>0.35</v>
      </c>
      <c r="K26" s="6">
        <v>330.67899999999997</v>
      </c>
      <c r="L26" s="6">
        <v>0</v>
      </c>
      <c r="M26" s="6">
        <v>36.090000000000003</v>
      </c>
      <c r="N26">
        <v>63.055999999999997</v>
      </c>
    </row>
    <row r="27" spans="1:14">
      <c r="A27">
        <v>8994</v>
      </c>
      <c r="B27" t="s">
        <v>333</v>
      </c>
      <c r="C27" s="7">
        <v>42338</v>
      </c>
      <c r="D27" s="5">
        <v>30</v>
      </c>
      <c r="E27" s="12">
        <v>26.02</v>
      </c>
      <c r="F27" s="6">
        <v>1.6830000000000001</v>
      </c>
      <c r="G27" s="6">
        <v>1.4670000000000001</v>
      </c>
      <c r="H27" s="6">
        <v>1927.4590000000001</v>
      </c>
      <c r="I27" s="6">
        <v>2174.5300000000002</v>
      </c>
      <c r="J27" s="6">
        <v>0</v>
      </c>
      <c r="K27" s="6">
        <v>247.071</v>
      </c>
      <c r="L27" s="6">
        <v>0</v>
      </c>
      <c r="M27" s="6">
        <v>25.803999999999998</v>
      </c>
      <c r="N27">
        <v>4.8109999999999999</v>
      </c>
    </row>
    <row r="28" spans="1:14" s="20" customFormat="1">
      <c r="A28" s="20">
        <v>6871</v>
      </c>
      <c r="B28" s="20" t="s">
        <v>1048</v>
      </c>
      <c r="C28" s="21">
        <v>42338</v>
      </c>
      <c r="D28" s="22">
        <v>4</v>
      </c>
      <c r="E28" s="23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0">
        <v>0</v>
      </c>
    </row>
    <row r="29" spans="1:14" s="20" customFormat="1">
      <c r="A29" s="20">
        <v>13465</v>
      </c>
      <c r="B29" s="20" t="s">
        <v>79</v>
      </c>
      <c r="C29" s="21">
        <v>42338</v>
      </c>
      <c r="D29" s="22">
        <v>28</v>
      </c>
      <c r="E29" s="23">
        <v>0.184</v>
      </c>
      <c r="F29" s="24">
        <v>0.36</v>
      </c>
      <c r="G29" s="24">
        <v>0.27</v>
      </c>
      <c r="H29" s="24">
        <v>1554.6690000000001</v>
      </c>
      <c r="I29" s="24">
        <v>1907.85</v>
      </c>
      <c r="J29" s="24">
        <v>0</v>
      </c>
      <c r="K29" s="24">
        <v>353.18099999999998</v>
      </c>
      <c r="L29" s="24">
        <v>0</v>
      </c>
      <c r="M29" s="24">
        <v>9.4E-2</v>
      </c>
      <c r="N29" s="20">
        <v>37.127000000000002</v>
      </c>
    </row>
    <row r="30" spans="1:14" s="20" customFormat="1">
      <c r="A30" s="20">
        <v>10185</v>
      </c>
      <c r="B30" s="20" t="s">
        <v>82</v>
      </c>
      <c r="C30" s="21">
        <v>42338</v>
      </c>
      <c r="D30" s="22">
        <v>30</v>
      </c>
      <c r="E30" s="23">
        <v>0.95</v>
      </c>
      <c r="F30" s="24">
        <v>7.6849999999999996</v>
      </c>
      <c r="G30" s="24">
        <v>7.08</v>
      </c>
      <c r="H30" s="24">
        <v>1765.3130000000001</v>
      </c>
      <c r="I30" s="24">
        <v>2128.84</v>
      </c>
      <c r="J30" s="24">
        <v>1.37</v>
      </c>
      <c r="K30" s="24">
        <v>362.15699999999998</v>
      </c>
      <c r="L30" s="24">
        <v>0</v>
      </c>
      <c r="M30" s="24">
        <v>0.34499999999999997</v>
      </c>
      <c r="N30" s="20">
        <v>112.629</v>
      </c>
    </row>
    <row r="31" spans="1:14" s="20" customFormat="1">
      <c r="A31" s="20">
        <v>6897</v>
      </c>
      <c r="B31" s="20" t="s">
        <v>653</v>
      </c>
      <c r="C31" s="21">
        <v>42338</v>
      </c>
      <c r="D31" s="22">
        <v>6</v>
      </c>
      <c r="E31" s="23">
        <v>0.48299999999999998</v>
      </c>
      <c r="F31" s="24">
        <v>0.46899999999999997</v>
      </c>
      <c r="G31" s="24">
        <v>1.4999999999999999E-2</v>
      </c>
      <c r="H31" s="24">
        <v>88.963999999999999</v>
      </c>
      <c r="I31" s="24">
        <v>375.65</v>
      </c>
      <c r="J31" s="24">
        <v>0</v>
      </c>
      <c r="K31" s="24">
        <v>286.68599999999998</v>
      </c>
      <c r="L31" s="24">
        <v>0</v>
      </c>
      <c r="M31" s="24">
        <v>2.9000000000000001E-2</v>
      </c>
      <c r="N31" s="20">
        <v>2.5999999999999999E-2</v>
      </c>
    </row>
    <row r="32" spans="1:14" s="20" customFormat="1">
      <c r="A32" s="20">
        <v>7210</v>
      </c>
      <c r="B32" s="20" t="s">
        <v>654</v>
      </c>
      <c r="C32" s="21">
        <v>42338</v>
      </c>
      <c r="D32" s="22">
        <v>27</v>
      </c>
      <c r="E32" s="23">
        <v>9.1999999999999998E-2</v>
      </c>
      <c r="F32" s="24">
        <v>0.183</v>
      </c>
      <c r="G32" s="24">
        <v>0.14399999999999999</v>
      </c>
      <c r="H32" s="24">
        <v>824.11300000000006</v>
      </c>
      <c r="I32" s="24">
        <v>1144.1500000000001</v>
      </c>
      <c r="J32" s="24">
        <v>0</v>
      </c>
      <c r="K32" s="24">
        <v>320.03699999999998</v>
      </c>
      <c r="L32" s="24">
        <v>0</v>
      </c>
      <c r="M32" s="24">
        <v>5.2999999999999999E-2</v>
      </c>
      <c r="N32" s="20">
        <v>60.194000000000003</v>
      </c>
    </row>
    <row r="33" spans="1:14" s="20" customFormat="1">
      <c r="A33" s="20">
        <v>10547</v>
      </c>
      <c r="B33" s="20" t="s">
        <v>87</v>
      </c>
      <c r="C33" s="21">
        <v>42338</v>
      </c>
      <c r="D33" s="22">
        <v>30</v>
      </c>
      <c r="E33" s="23">
        <v>1</v>
      </c>
      <c r="F33" s="24">
        <v>3.371</v>
      </c>
      <c r="G33" s="24">
        <v>2.6509999999999998</v>
      </c>
      <c r="H33" s="24">
        <v>3482.3180000000002</v>
      </c>
      <c r="I33" s="24">
        <v>3923.37</v>
      </c>
      <c r="J33" s="24">
        <v>0.42</v>
      </c>
      <c r="K33" s="24">
        <v>440.63200000000001</v>
      </c>
      <c r="L33" s="24">
        <v>0</v>
      </c>
      <c r="M33" s="24">
        <v>0.28000000000000003</v>
      </c>
      <c r="N33" s="20">
        <v>98.099000000000004</v>
      </c>
    </row>
    <row r="34" spans="1:14" s="20" customFormat="1">
      <c r="A34" s="20">
        <v>7522</v>
      </c>
      <c r="B34" s="20" t="s">
        <v>91</v>
      </c>
      <c r="C34" s="21">
        <v>42338</v>
      </c>
      <c r="D34" s="22">
        <v>30</v>
      </c>
      <c r="E34" s="23">
        <v>0.95</v>
      </c>
      <c r="F34" s="24">
        <v>13.958</v>
      </c>
      <c r="G34" s="24">
        <v>13.816000000000001</v>
      </c>
      <c r="H34" s="24">
        <v>5956.09</v>
      </c>
      <c r="I34" s="24">
        <v>6440.96</v>
      </c>
      <c r="J34" s="24">
        <v>2.59</v>
      </c>
      <c r="K34" s="24">
        <v>482.28</v>
      </c>
      <c r="L34" s="24">
        <v>0</v>
      </c>
      <c r="M34" s="24">
        <v>0.80800000000000005</v>
      </c>
      <c r="N34" s="20">
        <v>274.88</v>
      </c>
    </row>
    <row r="35" spans="1:14" s="20" customFormat="1">
      <c r="A35" s="20">
        <v>7519</v>
      </c>
      <c r="B35" s="20" t="s">
        <v>93</v>
      </c>
      <c r="C35" s="21">
        <v>42338</v>
      </c>
      <c r="D35" s="22">
        <v>30</v>
      </c>
      <c r="E35" s="23">
        <v>0.224</v>
      </c>
      <c r="F35" s="24">
        <v>0.374</v>
      </c>
      <c r="G35" s="24">
        <v>0.22900000000000001</v>
      </c>
      <c r="H35" s="24">
        <v>1317.623</v>
      </c>
      <c r="I35" s="24">
        <v>1825.78</v>
      </c>
      <c r="J35" s="24">
        <v>0</v>
      </c>
      <c r="K35" s="24">
        <v>508.15699999999998</v>
      </c>
      <c r="L35" s="24">
        <v>0</v>
      </c>
      <c r="M35" s="24">
        <v>7.9000000000000001E-2</v>
      </c>
      <c r="N35" s="20">
        <v>40.460999999999999</v>
      </c>
    </row>
    <row r="36" spans="1:14" s="20" customFormat="1">
      <c r="A36" s="20">
        <v>10653</v>
      </c>
      <c r="B36" s="20" t="s">
        <v>95</v>
      </c>
      <c r="C36" s="21">
        <v>42338</v>
      </c>
      <c r="D36" s="22">
        <v>30</v>
      </c>
      <c r="E36" s="23">
        <v>0.189</v>
      </c>
      <c r="F36" s="24">
        <v>0.30299999999999999</v>
      </c>
      <c r="G36" s="24">
        <v>0.17399999999999999</v>
      </c>
      <c r="H36" s="24">
        <v>997.73599999999999</v>
      </c>
      <c r="I36" s="24">
        <v>1255.6500000000001</v>
      </c>
      <c r="J36" s="24">
        <v>0</v>
      </c>
      <c r="K36" s="24">
        <v>257.91399999999999</v>
      </c>
      <c r="L36" s="24">
        <v>0</v>
      </c>
      <c r="M36" s="24">
        <v>0.06</v>
      </c>
      <c r="N36" s="20">
        <v>44.225000000000001</v>
      </c>
    </row>
    <row r="37" spans="1:14" s="20" customFormat="1">
      <c r="A37" s="20">
        <v>7320</v>
      </c>
      <c r="B37" s="20" t="s">
        <v>1010</v>
      </c>
      <c r="C37" s="21">
        <v>42338</v>
      </c>
      <c r="D37" s="22">
        <v>0</v>
      </c>
      <c r="E37" s="23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0">
        <v>0</v>
      </c>
    </row>
    <row r="38" spans="1:14" s="20" customFormat="1">
      <c r="A38" s="20">
        <v>10201</v>
      </c>
      <c r="B38" s="20" t="s">
        <v>96</v>
      </c>
      <c r="C38" s="21">
        <v>42338</v>
      </c>
      <c r="D38" s="22">
        <v>30</v>
      </c>
      <c r="E38" s="23">
        <v>0.52100000000000002</v>
      </c>
      <c r="F38" s="24">
        <v>11.038</v>
      </c>
      <c r="G38" s="24">
        <v>11.108000000000001</v>
      </c>
      <c r="H38" s="24">
        <v>3712.5720000000001</v>
      </c>
      <c r="I38" s="24">
        <v>4165.1899999999996</v>
      </c>
      <c r="J38" s="24">
        <v>2.12</v>
      </c>
      <c r="K38" s="24">
        <v>450.49799999999999</v>
      </c>
      <c r="L38" s="24">
        <v>0</v>
      </c>
      <c r="M38" s="24">
        <v>0.59099999999999997</v>
      </c>
      <c r="N38" s="20">
        <v>73.361000000000004</v>
      </c>
    </row>
    <row r="39" spans="1:14" s="20" customFormat="1">
      <c r="A39" s="20">
        <v>7520</v>
      </c>
      <c r="B39" s="20" t="s">
        <v>98</v>
      </c>
      <c r="C39" s="21">
        <v>42338</v>
      </c>
      <c r="D39" s="22">
        <v>0</v>
      </c>
      <c r="E39" s="23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0">
        <v>0</v>
      </c>
    </row>
    <row r="40" spans="1:14" s="20" customFormat="1">
      <c r="A40" s="20">
        <v>10855</v>
      </c>
      <c r="B40" s="20" t="s">
        <v>99</v>
      </c>
      <c r="C40" s="21">
        <v>42338</v>
      </c>
      <c r="D40" s="22">
        <v>30</v>
      </c>
      <c r="E40" s="23">
        <v>0.43</v>
      </c>
      <c r="F40" s="24">
        <v>100.80500000000001</v>
      </c>
      <c r="G40" s="24">
        <v>104.254</v>
      </c>
      <c r="H40" s="24">
        <v>3515.3209999999999</v>
      </c>
      <c r="I40" s="24">
        <v>3978.49</v>
      </c>
      <c r="J40" s="24">
        <v>21.04</v>
      </c>
      <c r="K40" s="24">
        <v>442.12900000000002</v>
      </c>
      <c r="L40" s="24">
        <v>0</v>
      </c>
      <c r="M40" s="24">
        <v>3.879</v>
      </c>
      <c r="N40" s="20">
        <v>155.91999999999999</v>
      </c>
    </row>
    <row r="41" spans="1:14" s="20" customFormat="1">
      <c r="A41" s="20">
        <v>10854</v>
      </c>
      <c r="B41" s="20" t="s">
        <v>100</v>
      </c>
      <c r="C41" s="21">
        <v>42338</v>
      </c>
      <c r="D41" s="22">
        <v>30</v>
      </c>
      <c r="E41" s="23">
        <v>0.82599999999999996</v>
      </c>
      <c r="F41" s="24">
        <v>11.502000000000001</v>
      </c>
      <c r="G41" s="24">
        <v>11.282999999999999</v>
      </c>
      <c r="H41" s="24">
        <v>3887.3429999999998</v>
      </c>
      <c r="I41" s="24">
        <v>4348.5</v>
      </c>
      <c r="J41" s="24">
        <v>2.15</v>
      </c>
      <c r="K41" s="24">
        <v>459.00700000000001</v>
      </c>
      <c r="L41" s="24">
        <v>0</v>
      </c>
      <c r="M41" s="24">
        <v>0.60699999999999998</v>
      </c>
      <c r="N41" s="20">
        <v>111.321</v>
      </c>
    </row>
    <row r="42" spans="1:14" s="20" customFormat="1">
      <c r="A42" s="20">
        <v>10444</v>
      </c>
      <c r="B42" s="20" t="s">
        <v>102</v>
      </c>
      <c r="C42" s="21">
        <v>42338</v>
      </c>
      <c r="D42" s="22">
        <v>30</v>
      </c>
      <c r="E42" s="23">
        <v>3.3650000000000002</v>
      </c>
      <c r="F42" s="24">
        <v>3.9420000000000002</v>
      </c>
      <c r="G42" s="24">
        <v>0.85799999999999998</v>
      </c>
      <c r="H42" s="24">
        <v>4929.1779999999999</v>
      </c>
      <c r="I42" s="24">
        <v>5434.87</v>
      </c>
      <c r="J42" s="24">
        <v>0</v>
      </c>
      <c r="K42" s="24">
        <v>505.69200000000001</v>
      </c>
      <c r="L42" s="24">
        <v>0</v>
      </c>
      <c r="M42" s="24">
        <v>0.28100000000000003</v>
      </c>
      <c r="N42" s="20">
        <v>1.4590000000000001</v>
      </c>
    </row>
    <row r="43" spans="1:14" s="47" customFormat="1">
      <c r="A43" s="47">
        <v>7450</v>
      </c>
      <c r="B43" s="47" t="s">
        <v>104</v>
      </c>
      <c r="C43" s="48">
        <v>42338</v>
      </c>
      <c r="D43" s="49">
        <v>30</v>
      </c>
      <c r="E43" s="50">
        <v>0.155</v>
      </c>
      <c r="F43" s="51">
        <v>2.3940000000000001</v>
      </c>
      <c r="G43" s="51">
        <v>2.3919999999999999</v>
      </c>
      <c r="H43" s="51">
        <v>1252.383</v>
      </c>
      <c r="I43" s="51">
        <v>1526.33</v>
      </c>
      <c r="J43" s="51">
        <v>0.44</v>
      </c>
      <c r="K43" s="51">
        <v>273.50700000000001</v>
      </c>
      <c r="L43" s="51">
        <v>0</v>
      </c>
      <c r="M43" s="51">
        <v>0.153</v>
      </c>
      <c r="N43" s="47">
        <v>25.885000000000002</v>
      </c>
    </row>
    <row r="44" spans="1:14" s="20" customFormat="1">
      <c r="A44" s="20">
        <v>7810</v>
      </c>
      <c r="B44" s="20" t="s">
        <v>105</v>
      </c>
      <c r="C44" s="21">
        <v>42338</v>
      </c>
      <c r="D44" s="22">
        <v>30</v>
      </c>
      <c r="E44" s="23">
        <v>0.33300000000000002</v>
      </c>
      <c r="F44" s="24">
        <v>10.909000000000001</v>
      </c>
      <c r="G44" s="24">
        <v>11.132</v>
      </c>
      <c r="H44" s="24">
        <v>3017.4090000000001</v>
      </c>
      <c r="I44" s="24">
        <v>3439.1</v>
      </c>
      <c r="J44" s="24">
        <v>2.15</v>
      </c>
      <c r="K44" s="24">
        <v>419.541</v>
      </c>
      <c r="L44" s="24">
        <v>0</v>
      </c>
      <c r="M44" s="24">
        <v>0.55600000000000005</v>
      </c>
      <c r="N44" s="20">
        <v>49.226999999999997</v>
      </c>
    </row>
    <row r="45" spans="1:14" s="20" customFormat="1">
      <c r="A45" s="20">
        <v>7211</v>
      </c>
      <c r="B45" s="20" t="s">
        <v>108</v>
      </c>
      <c r="C45" s="21">
        <v>42338</v>
      </c>
      <c r="D45" s="22">
        <v>30</v>
      </c>
      <c r="E45" s="23">
        <v>0.121</v>
      </c>
      <c r="F45" s="24">
        <v>0.84</v>
      </c>
      <c r="G45" s="24">
        <v>0.82499999999999996</v>
      </c>
      <c r="H45" s="24">
        <v>1429.45</v>
      </c>
      <c r="I45" s="24">
        <v>1578.99</v>
      </c>
      <c r="J45" s="24">
        <v>0.12</v>
      </c>
      <c r="K45" s="24">
        <v>149.41999999999999</v>
      </c>
      <c r="L45" s="24">
        <v>0</v>
      </c>
      <c r="M45" s="24">
        <v>0.106</v>
      </c>
      <c r="N45" s="20">
        <v>14.839</v>
      </c>
    </row>
    <row r="46" spans="1:14" s="20" customFormat="1">
      <c r="A46" s="20">
        <v>13377</v>
      </c>
      <c r="B46" s="20" t="s">
        <v>109</v>
      </c>
      <c r="C46" s="21">
        <v>42338</v>
      </c>
      <c r="D46" s="22">
        <v>30</v>
      </c>
      <c r="E46" s="23">
        <v>0.27800000000000002</v>
      </c>
      <c r="F46" s="24">
        <v>6.49</v>
      </c>
      <c r="G46" s="24">
        <v>6.5049999999999999</v>
      </c>
      <c r="H46" s="24">
        <v>1159.4010000000001</v>
      </c>
      <c r="I46" s="24">
        <v>1355.67</v>
      </c>
      <c r="J46" s="24">
        <v>1.28</v>
      </c>
      <c r="K46" s="24">
        <v>194.989</v>
      </c>
      <c r="L46" s="24">
        <v>0</v>
      </c>
      <c r="M46" s="24">
        <v>0.29299999999999998</v>
      </c>
      <c r="N46" s="20">
        <v>79.262</v>
      </c>
    </row>
    <row r="47" spans="1:14" s="20" customFormat="1">
      <c r="A47" s="20">
        <v>7521</v>
      </c>
      <c r="B47" s="20" t="s">
        <v>110</v>
      </c>
      <c r="C47" s="21">
        <v>42338</v>
      </c>
      <c r="D47" s="22">
        <v>30</v>
      </c>
      <c r="E47" s="23">
        <v>0.497</v>
      </c>
      <c r="F47" s="24">
        <v>13.013999999999999</v>
      </c>
      <c r="G47" s="24">
        <v>13.048</v>
      </c>
      <c r="H47" s="24">
        <v>1303.5619999999999</v>
      </c>
      <c r="I47" s="24">
        <v>1647.37</v>
      </c>
      <c r="J47" s="24">
        <v>2.6</v>
      </c>
      <c r="K47" s="24">
        <v>341.20800000000003</v>
      </c>
      <c r="L47" s="24">
        <v>0</v>
      </c>
      <c r="M47" s="24">
        <v>0.53100000000000003</v>
      </c>
      <c r="N47" s="20">
        <v>165.22200000000001</v>
      </c>
    </row>
    <row r="48" spans="1:14" s="20" customFormat="1">
      <c r="A48" s="20">
        <v>13486</v>
      </c>
      <c r="B48" s="20" t="s">
        <v>111</v>
      </c>
      <c r="C48" s="21">
        <v>42338</v>
      </c>
      <c r="D48" s="22">
        <v>30</v>
      </c>
      <c r="E48" s="23">
        <v>1.1599999999999999</v>
      </c>
      <c r="F48" s="24">
        <v>32.600999999999999</v>
      </c>
      <c r="G48" s="24">
        <v>32.698</v>
      </c>
      <c r="H48" s="24">
        <v>1832.85</v>
      </c>
      <c r="I48" s="24">
        <v>2136.9499999999998</v>
      </c>
      <c r="J48" s="24">
        <v>6.57</v>
      </c>
      <c r="K48" s="24">
        <v>297.52999999999997</v>
      </c>
      <c r="L48" s="24">
        <v>0</v>
      </c>
      <c r="M48" s="24">
        <v>1.2569999999999999</v>
      </c>
      <c r="N48" s="20">
        <v>76.552000000000007</v>
      </c>
    </row>
    <row r="49" spans="1:14" s="20" customFormat="1">
      <c r="A49" s="20">
        <v>6869</v>
      </c>
      <c r="B49" s="20" t="s">
        <v>655</v>
      </c>
      <c r="C49" s="21">
        <v>42338</v>
      </c>
      <c r="D49" s="22">
        <v>30</v>
      </c>
      <c r="E49" s="23">
        <v>0.17599999999999999</v>
      </c>
      <c r="F49" s="24">
        <v>4.5609999999999999</v>
      </c>
      <c r="G49" s="24">
        <v>4.5599999999999996</v>
      </c>
      <c r="H49" s="24">
        <v>250.15100000000001</v>
      </c>
      <c r="I49" s="24">
        <v>544.49</v>
      </c>
      <c r="J49" s="24">
        <v>0.92</v>
      </c>
      <c r="K49" s="24">
        <v>293.41899999999998</v>
      </c>
      <c r="L49" s="24">
        <v>0</v>
      </c>
      <c r="M49" s="24">
        <v>0.17499999999999999</v>
      </c>
      <c r="N49" s="20">
        <v>11.381</v>
      </c>
    </row>
    <row r="50" spans="1:14" s="20" customFormat="1">
      <c r="A50" s="20">
        <v>13433</v>
      </c>
      <c r="B50" s="20" t="s">
        <v>113</v>
      </c>
      <c r="C50" s="21">
        <v>42338</v>
      </c>
      <c r="D50" s="22">
        <v>0</v>
      </c>
      <c r="E50" s="23">
        <v>1.0999999999999999E-2</v>
      </c>
      <c r="F50" s="24">
        <v>1.0999999999999999E-2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0">
        <v>0</v>
      </c>
    </row>
    <row r="51" spans="1:14" s="20" customFormat="1">
      <c r="A51" s="20">
        <v>7811</v>
      </c>
      <c r="B51" s="20" t="s">
        <v>114</v>
      </c>
      <c r="C51" s="21">
        <v>42338</v>
      </c>
      <c r="D51" s="22">
        <v>30</v>
      </c>
      <c r="E51" s="23">
        <v>0.96</v>
      </c>
      <c r="F51" s="24">
        <v>14.385999999999999</v>
      </c>
      <c r="G51" s="24">
        <v>14.025</v>
      </c>
      <c r="H51" s="24">
        <v>1949.172</v>
      </c>
      <c r="I51" s="24">
        <v>2252.4499999999998</v>
      </c>
      <c r="J51" s="24">
        <v>2.78</v>
      </c>
      <c r="K51" s="24">
        <v>300.49799999999999</v>
      </c>
      <c r="L51" s="24">
        <v>0</v>
      </c>
      <c r="M51" s="24">
        <v>0.59899999999999998</v>
      </c>
      <c r="N51" s="20">
        <v>21.995999999999999</v>
      </c>
    </row>
    <row r="52" spans="1:14" s="20" customFormat="1">
      <c r="A52" s="20">
        <v>13497</v>
      </c>
      <c r="B52" s="20" t="s">
        <v>116</v>
      </c>
      <c r="C52" s="21">
        <v>42338</v>
      </c>
      <c r="D52" s="22">
        <v>30</v>
      </c>
      <c r="E52" s="23">
        <v>0.27800000000000002</v>
      </c>
      <c r="F52" s="24">
        <v>2.2810000000000001</v>
      </c>
      <c r="G52" s="24">
        <v>2.157</v>
      </c>
      <c r="H52" s="24">
        <v>1472.019</v>
      </c>
      <c r="I52" s="24">
        <v>1751.26</v>
      </c>
      <c r="J52" s="24">
        <v>0.39</v>
      </c>
      <c r="K52" s="24">
        <v>278.851</v>
      </c>
      <c r="L52" s="24">
        <v>0</v>
      </c>
      <c r="M52" s="24">
        <v>0.154</v>
      </c>
      <c r="N52" s="20">
        <v>77.784000000000006</v>
      </c>
    </row>
    <row r="53" spans="1:14" s="20" customFormat="1">
      <c r="A53" s="20">
        <v>10336</v>
      </c>
      <c r="B53" s="20" t="s">
        <v>118</v>
      </c>
      <c r="C53" s="21">
        <v>42338</v>
      </c>
      <c r="D53" s="22">
        <v>24</v>
      </c>
      <c r="E53" s="23">
        <v>3.145</v>
      </c>
      <c r="F53" s="24">
        <v>18.623999999999999</v>
      </c>
      <c r="G53" s="24">
        <v>16.111000000000001</v>
      </c>
      <c r="H53" s="24">
        <v>1153.662</v>
      </c>
      <c r="I53" s="24">
        <v>1491.88</v>
      </c>
      <c r="J53" s="24">
        <v>3.23</v>
      </c>
      <c r="K53" s="24">
        <v>334.988</v>
      </c>
      <c r="L53" s="24">
        <v>0</v>
      </c>
      <c r="M53" s="24">
        <v>0.63200000000000001</v>
      </c>
      <c r="N53" s="20">
        <v>573.04100000000005</v>
      </c>
    </row>
    <row r="54" spans="1:14" s="20" customFormat="1">
      <c r="A54" s="20">
        <v>12412</v>
      </c>
      <c r="B54" s="20" t="s">
        <v>120</v>
      </c>
      <c r="C54" s="21">
        <v>42338</v>
      </c>
      <c r="D54" s="22">
        <v>30</v>
      </c>
      <c r="E54" s="23">
        <v>0.38300000000000001</v>
      </c>
      <c r="F54" s="24">
        <v>8.9169999999999998</v>
      </c>
      <c r="G54" s="24">
        <v>8.9749999999999996</v>
      </c>
      <c r="H54" s="24">
        <v>2298.6190000000001</v>
      </c>
      <c r="I54" s="24">
        <v>2619.02</v>
      </c>
      <c r="J54" s="24">
        <v>1.74</v>
      </c>
      <c r="K54" s="24">
        <v>318.661</v>
      </c>
      <c r="L54" s="24">
        <v>0</v>
      </c>
      <c r="M54" s="24">
        <v>0.441</v>
      </c>
      <c r="N54" s="20">
        <v>222.703</v>
      </c>
    </row>
    <row r="55" spans="1:14" s="20" customFormat="1">
      <c r="A55" s="20">
        <v>12400</v>
      </c>
      <c r="B55" s="20" t="s">
        <v>121</v>
      </c>
      <c r="C55" s="21">
        <v>42338</v>
      </c>
      <c r="D55" s="22">
        <v>30</v>
      </c>
      <c r="E55" s="23">
        <v>0.498</v>
      </c>
      <c r="F55" s="24">
        <v>11.041</v>
      </c>
      <c r="G55" s="24">
        <v>11.089</v>
      </c>
      <c r="H55" s="24">
        <v>2839.96</v>
      </c>
      <c r="I55" s="24">
        <v>3183.02</v>
      </c>
      <c r="J55" s="24">
        <v>2.15</v>
      </c>
      <c r="K55" s="24">
        <v>340.91</v>
      </c>
      <c r="L55" s="24">
        <v>0</v>
      </c>
      <c r="M55" s="24">
        <v>0.54600000000000004</v>
      </c>
      <c r="N55" s="20">
        <v>275.15100000000001</v>
      </c>
    </row>
    <row r="56" spans="1:14" s="20" customFormat="1">
      <c r="A56" s="20">
        <v>20716</v>
      </c>
      <c r="B56" s="20" t="s">
        <v>976</v>
      </c>
      <c r="C56" s="21">
        <v>42338</v>
      </c>
      <c r="D56" s="22">
        <v>30</v>
      </c>
      <c r="E56" s="23">
        <v>0.40100000000000002</v>
      </c>
      <c r="F56" s="24">
        <v>4.5060000000000002</v>
      </c>
      <c r="G56" s="24">
        <v>4.4109999999999996</v>
      </c>
      <c r="H56" s="24">
        <v>2741.2379999999998</v>
      </c>
      <c r="I56" s="24">
        <v>2965.55</v>
      </c>
      <c r="J56" s="24">
        <v>0.8</v>
      </c>
      <c r="K56" s="24">
        <v>223.512</v>
      </c>
      <c r="L56" s="24">
        <v>0</v>
      </c>
      <c r="M56" s="24">
        <v>0.30599999999999999</v>
      </c>
      <c r="N56" s="20">
        <v>55.719000000000001</v>
      </c>
    </row>
    <row r="57" spans="1:14" s="20" customFormat="1">
      <c r="A57" s="20">
        <v>20721</v>
      </c>
      <c r="B57" s="20" t="s">
        <v>975</v>
      </c>
      <c r="C57" s="21">
        <v>42338</v>
      </c>
      <c r="D57" s="22">
        <v>30</v>
      </c>
      <c r="E57" s="23">
        <v>1.0999999999999999E-2</v>
      </c>
      <c r="F57" s="24">
        <v>0.13600000000000001</v>
      </c>
      <c r="G57" s="24">
        <v>0.13300000000000001</v>
      </c>
      <c r="H57" s="24">
        <v>82.555000000000007</v>
      </c>
      <c r="I57" s="24">
        <v>185.47</v>
      </c>
      <c r="J57" s="24">
        <v>0.02</v>
      </c>
      <c r="K57" s="24">
        <v>102.895</v>
      </c>
      <c r="L57" s="24">
        <v>0</v>
      </c>
      <c r="M57" s="24">
        <v>8.0000000000000002E-3</v>
      </c>
      <c r="N57" s="20">
        <v>1.6779999999999999</v>
      </c>
    </row>
    <row r="58" spans="1:14" s="20" customFormat="1">
      <c r="A58" s="20">
        <v>20709</v>
      </c>
      <c r="B58" s="20" t="s">
        <v>972</v>
      </c>
      <c r="C58" s="21">
        <v>42338</v>
      </c>
      <c r="D58" s="22">
        <v>30</v>
      </c>
      <c r="E58" s="23">
        <v>0.54</v>
      </c>
      <c r="F58" s="24">
        <v>6.7969999999999997</v>
      </c>
      <c r="G58" s="24">
        <v>6.7160000000000002</v>
      </c>
      <c r="H58" s="24">
        <v>4174.6109999999999</v>
      </c>
      <c r="I58" s="24">
        <v>4464.37</v>
      </c>
      <c r="J58" s="24">
        <v>1.22</v>
      </c>
      <c r="K58" s="24">
        <v>288.53899999999999</v>
      </c>
      <c r="L58" s="24">
        <v>0</v>
      </c>
      <c r="M58" s="24">
        <v>0.45900000000000002</v>
      </c>
      <c r="N58" s="20">
        <v>84.852000000000004</v>
      </c>
    </row>
    <row r="59" spans="1:14" s="20" customFormat="1">
      <c r="A59" s="20">
        <v>20724</v>
      </c>
      <c r="B59" s="20" t="s">
        <v>974</v>
      </c>
      <c r="C59" s="21">
        <v>42338</v>
      </c>
      <c r="D59" s="22">
        <v>30</v>
      </c>
      <c r="E59" s="23">
        <v>0.66900000000000004</v>
      </c>
      <c r="F59" s="24">
        <v>8.1549999999999994</v>
      </c>
      <c r="G59" s="24">
        <v>8.0399999999999991</v>
      </c>
      <c r="H59" s="24">
        <v>4995.7579999999998</v>
      </c>
      <c r="I59" s="24">
        <v>5323.01</v>
      </c>
      <c r="J59" s="24">
        <v>1.46</v>
      </c>
      <c r="K59" s="24">
        <v>325.79199999999997</v>
      </c>
      <c r="L59" s="24">
        <v>0</v>
      </c>
      <c r="M59" s="24">
        <v>0.55400000000000005</v>
      </c>
      <c r="N59" s="20">
        <v>101.544</v>
      </c>
    </row>
    <row r="60" spans="1:14" s="20" customFormat="1">
      <c r="A60" s="20">
        <v>20711</v>
      </c>
      <c r="B60" s="20" t="s">
        <v>978</v>
      </c>
      <c r="C60" s="21">
        <v>42338</v>
      </c>
      <c r="D60" s="22">
        <v>30</v>
      </c>
      <c r="E60" s="23">
        <v>0.53</v>
      </c>
      <c r="F60" s="24">
        <v>6.4690000000000003</v>
      </c>
      <c r="G60" s="24">
        <v>6.3789999999999996</v>
      </c>
      <c r="H60" s="24">
        <v>3964.54</v>
      </c>
      <c r="I60" s="24">
        <v>4248.74</v>
      </c>
      <c r="J60" s="24">
        <v>1.1499999999999999</v>
      </c>
      <c r="K60" s="24">
        <v>283.05</v>
      </c>
      <c r="L60" s="24">
        <v>0</v>
      </c>
      <c r="M60" s="24">
        <v>0.44</v>
      </c>
      <c r="N60" s="20">
        <v>80.582999999999998</v>
      </c>
    </row>
    <row r="61" spans="1:14" s="20" customFormat="1">
      <c r="A61" s="20">
        <v>20722</v>
      </c>
      <c r="B61" s="20" t="s">
        <v>963</v>
      </c>
      <c r="C61" s="21">
        <v>42338</v>
      </c>
      <c r="D61" s="22">
        <v>30</v>
      </c>
      <c r="E61" s="23">
        <v>0.48799999999999999</v>
      </c>
      <c r="F61" s="24">
        <v>6.15</v>
      </c>
      <c r="G61" s="24">
        <v>6.0780000000000003</v>
      </c>
      <c r="H61" s="24">
        <v>3777.3339999999998</v>
      </c>
      <c r="I61" s="24">
        <v>4048.95</v>
      </c>
      <c r="J61" s="24">
        <v>1.1000000000000001</v>
      </c>
      <c r="K61" s="24">
        <v>270.51600000000002</v>
      </c>
      <c r="L61" s="24">
        <v>0</v>
      </c>
      <c r="M61" s="24">
        <v>0.41599999999999998</v>
      </c>
      <c r="N61" s="20">
        <v>76.778000000000006</v>
      </c>
    </row>
    <row r="62" spans="1:14" s="20" customFormat="1">
      <c r="A62" s="20">
        <v>20726</v>
      </c>
      <c r="B62" s="20" t="s">
        <v>948</v>
      </c>
      <c r="C62" s="21">
        <v>42338</v>
      </c>
      <c r="D62" s="22">
        <v>30</v>
      </c>
      <c r="E62" s="23">
        <v>0.59199999999999997</v>
      </c>
      <c r="F62" s="24">
        <v>7.2770000000000001</v>
      </c>
      <c r="G62" s="24">
        <v>7.1790000000000003</v>
      </c>
      <c r="H62" s="24">
        <v>4461.3040000000001</v>
      </c>
      <c r="I62" s="24">
        <v>4764.1499999999996</v>
      </c>
      <c r="J62" s="24">
        <v>1.3</v>
      </c>
      <c r="K62" s="24">
        <v>301.54599999999999</v>
      </c>
      <c r="L62" s="24">
        <v>0</v>
      </c>
      <c r="M62" s="24">
        <v>0.49399999999999999</v>
      </c>
      <c r="N62" s="20">
        <v>90.68</v>
      </c>
    </row>
    <row r="63" spans="1:14" s="20" customFormat="1">
      <c r="A63" s="20">
        <v>20720</v>
      </c>
      <c r="B63" s="20" t="s">
        <v>971</v>
      </c>
      <c r="C63" s="21">
        <v>42338</v>
      </c>
      <c r="D63" s="22">
        <v>30</v>
      </c>
      <c r="E63" s="23">
        <v>0.52200000000000002</v>
      </c>
      <c r="F63" s="24">
        <v>6.452</v>
      </c>
      <c r="G63" s="24">
        <v>6.367</v>
      </c>
      <c r="H63" s="24">
        <v>3956.8879999999999</v>
      </c>
      <c r="I63" s="24">
        <v>4236.7</v>
      </c>
      <c r="J63" s="24">
        <v>1.1499999999999999</v>
      </c>
      <c r="K63" s="24">
        <v>278.66199999999998</v>
      </c>
      <c r="L63" s="24">
        <v>0</v>
      </c>
      <c r="M63" s="24">
        <v>0.437</v>
      </c>
      <c r="N63" s="20">
        <v>80.426000000000002</v>
      </c>
    </row>
    <row r="64" spans="1:14" s="20" customFormat="1">
      <c r="A64" s="20">
        <v>20713</v>
      </c>
      <c r="B64" s="20" t="s">
        <v>973</v>
      </c>
      <c r="C64" s="21">
        <v>42338</v>
      </c>
      <c r="D64" s="22">
        <v>30</v>
      </c>
      <c r="E64" s="23">
        <v>0.33</v>
      </c>
      <c r="F64" s="24">
        <v>4.0309999999999997</v>
      </c>
      <c r="G64" s="24">
        <v>3.9740000000000002</v>
      </c>
      <c r="H64" s="24">
        <v>2469.7550000000001</v>
      </c>
      <c r="I64" s="24">
        <v>2685.14</v>
      </c>
      <c r="J64" s="24">
        <v>0.72</v>
      </c>
      <c r="K64" s="24">
        <v>214.66499999999999</v>
      </c>
      <c r="L64" s="24">
        <v>0</v>
      </c>
      <c r="M64" s="24">
        <v>0.27300000000000002</v>
      </c>
      <c r="N64" s="20">
        <v>50.2</v>
      </c>
    </row>
    <row r="65" spans="1:14" s="20" customFormat="1">
      <c r="A65" s="20">
        <v>20718</v>
      </c>
      <c r="B65" s="20" t="s">
        <v>962</v>
      </c>
      <c r="C65" s="21">
        <v>42338</v>
      </c>
      <c r="D65" s="22">
        <v>30</v>
      </c>
      <c r="E65" s="23">
        <v>0.49299999999999999</v>
      </c>
      <c r="F65" s="24">
        <v>6.1360000000000001</v>
      </c>
      <c r="G65" s="24">
        <v>6.0590000000000002</v>
      </c>
      <c r="H65" s="24">
        <v>3764.4189999999999</v>
      </c>
      <c r="I65" s="24">
        <v>4035.45</v>
      </c>
      <c r="J65" s="24">
        <v>1.1000000000000001</v>
      </c>
      <c r="K65" s="24">
        <v>269.93099999999998</v>
      </c>
      <c r="L65" s="24">
        <v>0</v>
      </c>
      <c r="M65" s="24">
        <v>0.41599999999999998</v>
      </c>
      <c r="N65" s="20">
        <v>76.515000000000001</v>
      </c>
    </row>
    <row r="66" spans="1:14" s="20" customFormat="1">
      <c r="A66" s="20">
        <v>20723</v>
      </c>
      <c r="B66" s="20" t="s">
        <v>981</v>
      </c>
      <c r="C66" s="21">
        <v>42338</v>
      </c>
      <c r="D66" s="22">
        <v>30</v>
      </c>
      <c r="E66" s="23">
        <v>0.60499999999999998</v>
      </c>
      <c r="F66" s="24">
        <v>7.56</v>
      </c>
      <c r="G66" s="24">
        <v>7.468</v>
      </c>
      <c r="H66" s="24">
        <v>4640.8580000000002</v>
      </c>
      <c r="I66" s="24">
        <v>4951.8999999999996</v>
      </c>
      <c r="J66" s="24">
        <v>1.35</v>
      </c>
      <c r="K66" s="24">
        <v>309.69200000000001</v>
      </c>
      <c r="L66" s="24">
        <v>0</v>
      </c>
      <c r="M66" s="24">
        <v>0.51300000000000001</v>
      </c>
      <c r="N66" s="20">
        <v>94.328999999999994</v>
      </c>
    </row>
    <row r="67" spans="1:14" s="20" customFormat="1">
      <c r="A67" s="20">
        <v>20729</v>
      </c>
      <c r="B67" s="20" t="s">
        <v>970</v>
      </c>
      <c r="C67" s="21">
        <v>42338</v>
      </c>
      <c r="D67" s="22">
        <v>30</v>
      </c>
      <c r="E67" s="23">
        <v>0.39800000000000002</v>
      </c>
      <c r="F67" s="24">
        <v>4.968</v>
      </c>
      <c r="G67" s="24">
        <v>4.907</v>
      </c>
      <c r="H67" s="24">
        <v>3049.1680000000001</v>
      </c>
      <c r="I67" s="24">
        <v>3287.54</v>
      </c>
      <c r="J67" s="24">
        <v>0.89</v>
      </c>
      <c r="K67" s="24">
        <v>237.482</v>
      </c>
      <c r="L67" s="24">
        <v>0</v>
      </c>
      <c r="M67" s="24">
        <v>0.33700000000000002</v>
      </c>
      <c r="N67" s="20">
        <v>61.978000000000002</v>
      </c>
    </row>
    <row r="68" spans="1:14" s="20" customFormat="1">
      <c r="A68" s="20">
        <v>20728</v>
      </c>
      <c r="B68" s="20" t="s">
        <v>949</v>
      </c>
      <c r="C68" s="21">
        <v>42338</v>
      </c>
      <c r="D68" s="22">
        <v>30</v>
      </c>
      <c r="E68" s="23">
        <v>0.63500000000000001</v>
      </c>
      <c r="F68" s="24">
        <v>7.7549999999999999</v>
      </c>
      <c r="G68" s="24">
        <v>7.6459999999999999</v>
      </c>
      <c r="H68" s="24">
        <v>4751.92</v>
      </c>
      <c r="I68" s="24">
        <v>5255.25</v>
      </c>
      <c r="J68" s="24">
        <v>1.38</v>
      </c>
      <c r="K68" s="24">
        <v>501.95</v>
      </c>
      <c r="L68" s="24">
        <v>0</v>
      </c>
      <c r="M68" s="24">
        <v>0.52600000000000002</v>
      </c>
      <c r="N68" s="20">
        <v>96.587000000000003</v>
      </c>
    </row>
    <row r="69" spans="1:14" s="20" customFormat="1">
      <c r="A69" s="20">
        <v>20715</v>
      </c>
      <c r="B69" s="20" t="s">
        <v>977</v>
      </c>
      <c r="C69" s="21">
        <v>42338</v>
      </c>
      <c r="D69" s="22">
        <v>30</v>
      </c>
      <c r="E69" s="23">
        <v>0.56599999999999995</v>
      </c>
      <c r="F69" s="24">
        <v>6.952</v>
      </c>
      <c r="G69" s="24">
        <v>6.8579999999999997</v>
      </c>
      <c r="H69" s="24">
        <v>4262.5219999999999</v>
      </c>
      <c r="I69" s="24">
        <v>4556.29</v>
      </c>
      <c r="J69" s="24">
        <v>1.24</v>
      </c>
      <c r="K69" s="24">
        <v>292.52800000000002</v>
      </c>
      <c r="L69" s="24">
        <v>0</v>
      </c>
      <c r="M69" s="24">
        <v>0.47199999999999998</v>
      </c>
      <c r="N69" s="20">
        <v>86.638999999999996</v>
      </c>
    </row>
    <row r="70" spans="1:14" s="20" customFormat="1">
      <c r="A70" s="20">
        <v>20714</v>
      </c>
      <c r="B70" s="20" t="s">
        <v>961</v>
      </c>
      <c r="C70" s="21">
        <v>42338</v>
      </c>
      <c r="D70" s="22">
        <v>30</v>
      </c>
      <c r="E70" s="23">
        <v>0.68899999999999995</v>
      </c>
      <c r="F70" s="24">
        <v>8.4760000000000009</v>
      </c>
      <c r="G70" s="24">
        <v>8.3610000000000007</v>
      </c>
      <c r="H70" s="24">
        <v>5196.357</v>
      </c>
      <c r="I70" s="24">
        <v>5532.76</v>
      </c>
      <c r="J70" s="24">
        <v>1.51</v>
      </c>
      <c r="K70" s="24">
        <v>334.89299999999997</v>
      </c>
      <c r="L70" s="24">
        <v>0</v>
      </c>
      <c r="M70" s="24">
        <v>0.57399999999999995</v>
      </c>
      <c r="N70" s="20">
        <v>105.62</v>
      </c>
    </row>
    <row r="71" spans="1:14" s="20" customFormat="1">
      <c r="A71" s="20">
        <v>20369</v>
      </c>
      <c r="B71" s="20" t="s">
        <v>926</v>
      </c>
      <c r="C71" s="21">
        <v>42338</v>
      </c>
      <c r="D71" s="22">
        <v>30</v>
      </c>
      <c r="E71" s="23">
        <v>1.1599999999999999</v>
      </c>
      <c r="F71" s="24">
        <v>31.295000000000002</v>
      </c>
      <c r="G71" s="24">
        <v>31.698</v>
      </c>
      <c r="H71" s="24">
        <v>8231.0810000000001</v>
      </c>
      <c r="I71" s="24">
        <v>8709.7900000000009</v>
      </c>
      <c r="J71" s="24">
        <v>6.14</v>
      </c>
      <c r="K71" s="24">
        <v>472.56900000000002</v>
      </c>
      <c r="L71" s="24">
        <v>0</v>
      </c>
      <c r="M71" s="24">
        <v>1.5629999999999999</v>
      </c>
      <c r="N71" s="20">
        <v>323.64499999999998</v>
      </c>
    </row>
    <row r="72" spans="1:14" s="20" customFormat="1">
      <c r="A72" s="20">
        <v>20375</v>
      </c>
      <c r="B72" s="20" t="s">
        <v>947</v>
      </c>
      <c r="C72" s="21">
        <v>42338</v>
      </c>
      <c r="D72" s="22">
        <v>30</v>
      </c>
      <c r="E72" s="23">
        <v>0.92100000000000004</v>
      </c>
      <c r="F72" s="24">
        <v>24.231999999999999</v>
      </c>
      <c r="G72" s="24">
        <v>24.521999999999998</v>
      </c>
      <c r="H72" s="24">
        <v>6367.7160000000003</v>
      </c>
      <c r="I72" s="24">
        <v>6760.5</v>
      </c>
      <c r="J72" s="24">
        <v>4.75</v>
      </c>
      <c r="K72" s="24">
        <v>388.03399999999999</v>
      </c>
      <c r="L72" s="24">
        <v>0</v>
      </c>
      <c r="M72" s="24">
        <v>1.2110000000000001</v>
      </c>
      <c r="N72" s="20">
        <v>250.37799999999999</v>
      </c>
    </row>
    <row r="73" spans="1:14" s="20" customFormat="1">
      <c r="A73" s="20">
        <v>20361</v>
      </c>
      <c r="B73" s="20" t="s">
        <v>927</v>
      </c>
      <c r="C73" s="21">
        <v>42338</v>
      </c>
      <c r="D73" s="22">
        <v>30</v>
      </c>
      <c r="E73" s="23">
        <v>0.66700000000000004</v>
      </c>
      <c r="F73" s="24">
        <v>17.489000000000001</v>
      </c>
      <c r="G73" s="24">
        <v>17.695</v>
      </c>
      <c r="H73" s="24">
        <v>4594.9409999999998</v>
      </c>
      <c r="I73" s="24">
        <v>4905.9799999999996</v>
      </c>
      <c r="J73" s="24">
        <v>3.43</v>
      </c>
      <c r="K73" s="24">
        <v>307.60899999999998</v>
      </c>
      <c r="L73" s="24">
        <v>0</v>
      </c>
      <c r="M73" s="24">
        <v>0.873</v>
      </c>
      <c r="N73" s="20">
        <v>180.673</v>
      </c>
    </row>
    <row r="74" spans="1:14" s="20" customFormat="1">
      <c r="A74" s="20">
        <v>20370</v>
      </c>
      <c r="B74" s="20" t="s">
        <v>928</v>
      </c>
      <c r="C74" s="21">
        <v>42338</v>
      </c>
      <c r="D74" s="22">
        <v>30</v>
      </c>
      <c r="E74" s="23">
        <v>0.84899999999999998</v>
      </c>
      <c r="F74" s="24">
        <v>22.094999999999999</v>
      </c>
      <c r="G74" s="24">
        <v>22.35</v>
      </c>
      <c r="H74" s="24">
        <v>5803.6080000000002</v>
      </c>
      <c r="I74" s="24">
        <v>6176.16</v>
      </c>
      <c r="J74" s="24">
        <v>4.33</v>
      </c>
      <c r="K74" s="24">
        <v>368.22199999999998</v>
      </c>
      <c r="L74" s="24">
        <v>0</v>
      </c>
      <c r="M74" s="24">
        <v>1.1040000000000001</v>
      </c>
      <c r="N74" s="20">
        <v>228.197</v>
      </c>
    </row>
    <row r="75" spans="1:14" s="20" customFormat="1">
      <c r="A75" s="20">
        <v>20374</v>
      </c>
      <c r="B75" s="20" t="s">
        <v>939</v>
      </c>
      <c r="C75" s="21">
        <v>42338</v>
      </c>
      <c r="D75" s="22">
        <v>30</v>
      </c>
      <c r="E75" s="23">
        <v>0.86299999999999999</v>
      </c>
      <c r="F75" s="24">
        <v>23.884</v>
      </c>
      <c r="G75" s="24">
        <v>24.213000000000001</v>
      </c>
      <c r="H75" s="24">
        <v>6287.4570000000003</v>
      </c>
      <c r="I75" s="24">
        <v>6676.54</v>
      </c>
      <c r="J75" s="24">
        <v>4.6900000000000004</v>
      </c>
      <c r="K75" s="24">
        <v>384.39299999999997</v>
      </c>
      <c r="L75" s="24">
        <v>0</v>
      </c>
      <c r="M75" s="24">
        <v>1.1919999999999999</v>
      </c>
      <c r="N75" s="20">
        <v>247.22300000000001</v>
      </c>
    </row>
    <row r="76" spans="1:14" s="20" customFormat="1">
      <c r="A76" s="20">
        <v>20360</v>
      </c>
      <c r="B76" s="20" t="s">
        <v>945</v>
      </c>
      <c r="C76" s="21">
        <v>42338</v>
      </c>
      <c r="D76" s="22">
        <v>30</v>
      </c>
      <c r="E76" s="23">
        <v>0.61699999999999999</v>
      </c>
      <c r="F76" s="24">
        <v>16.393000000000001</v>
      </c>
      <c r="G76" s="24">
        <v>16.594999999999999</v>
      </c>
      <c r="H76" s="24">
        <v>4309.3</v>
      </c>
      <c r="I76" s="24">
        <v>4607.17</v>
      </c>
      <c r="J76" s="24">
        <v>3.22</v>
      </c>
      <c r="K76" s="24">
        <v>294.64999999999998</v>
      </c>
      <c r="L76" s="24">
        <v>0</v>
      </c>
      <c r="M76" s="24">
        <v>0.81899999999999995</v>
      </c>
      <c r="N76" s="20">
        <v>169.44200000000001</v>
      </c>
    </row>
    <row r="77" spans="1:14" s="20" customFormat="1">
      <c r="A77" s="20">
        <v>20367</v>
      </c>
      <c r="B77" s="20" t="s">
        <v>929</v>
      </c>
      <c r="C77" s="21">
        <v>42338</v>
      </c>
      <c r="D77" s="22">
        <v>30</v>
      </c>
      <c r="E77" s="23">
        <v>0.92400000000000004</v>
      </c>
      <c r="F77" s="24">
        <v>24.838000000000001</v>
      </c>
      <c r="G77" s="24">
        <v>25.155000000000001</v>
      </c>
      <c r="H77" s="24">
        <v>6532.06</v>
      </c>
      <c r="I77" s="24">
        <v>7138.41</v>
      </c>
      <c r="J77" s="24">
        <v>4.88</v>
      </c>
      <c r="K77" s="24">
        <v>601.47</v>
      </c>
      <c r="L77" s="24">
        <v>0</v>
      </c>
      <c r="M77" s="24">
        <v>1.2410000000000001</v>
      </c>
      <c r="N77" s="20">
        <v>256.83999999999997</v>
      </c>
    </row>
    <row r="78" spans="1:14" s="20" customFormat="1">
      <c r="A78" s="20">
        <v>20368</v>
      </c>
      <c r="B78" s="20" t="s">
        <v>930</v>
      </c>
      <c r="C78" s="21">
        <v>42338</v>
      </c>
      <c r="D78" s="22">
        <v>30</v>
      </c>
      <c r="E78" s="23">
        <v>1.0669999999999999</v>
      </c>
      <c r="F78" s="24">
        <v>28.183</v>
      </c>
      <c r="G78" s="24">
        <v>28.524000000000001</v>
      </c>
      <c r="H78" s="24">
        <v>7407.0640000000003</v>
      </c>
      <c r="I78" s="24">
        <v>7960.7</v>
      </c>
      <c r="J78" s="24">
        <v>5.53</v>
      </c>
      <c r="K78" s="24">
        <v>548.10599999999999</v>
      </c>
      <c r="L78" s="24">
        <v>0</v>
      </c>
      <c r="M78" s="24">
        <v>1.4079999999999999</v>
      </c>
      <c r="N78" s="20">
        <v>291.245</v>
      </c>
    </row>
    <row r="79" spans="1:14" s="20" customFormat="1">
      <c r="A79" s="20">
        <v>20363</v>
      </c>
      <c r="B79" s="20" t="s">
        <v>946</v>
      </c>
      <c r="C79" s="21">
        <v>42338</v>
      </c>
      <c r="D79" s="22">
        <v>30</v>
      </c>
      <c r="E79" s="23">
        <v>1.1819999999999999</v>
      </c>
      <c r="F79" s="24">
        <v>31.85</v>
      </c>
      <c r="G79" s="24">
        <v>32.258000000000003</v>
      </c>
      <c r="H79" s="24">
        <v>8376.58</v>
      </c>
      <c r="I79" s="24">
        <v>8862</v>
      </c>
      <c r="J79" s="24">
        <v>6.25</v>
      </c>
      <c r="K79" s="24">
        <v>479.17</v>
      </c>
      <c r="L79" s="24">
        <v>0</v>
      </c>
      <c r="M79" s="24">
        <v>1.59</v>
      </c>
      <c r="N79" s="20">
        <v>329.36500000000001</v>
      </c>
    </row>
    <row r="80" spans="1:14" s="20" customFormat="1">
      <c r="A80" s="20">
        <v>20364</v>
      </c>
      <c r="B80" s="20" t="s">
        <v>936</v>
      </c>
      <c r="C80" s="21">
        <v>42338</v>
      </c>
      <c r="D80" s="22">
        <v>30</v>
      </c>
      <c r="E80" s="23">
        <v>1.018</v>
      </c>
      <c r="F80" s="24">
        <v>27.335999999999999</v>
      </c>
      <c r="G80" s="24">
        <v>27.683</v>
      </c>
      <c r="H80" s="24">
        <v>7188.48</v>
      </c>
      <c r="I80" s="24">
        <v>7619.12</v>
      </c>
      <c r="J80" s="24">
        <v>5.37</v>
      </c>
      <c r="K80" s="24">
        <v>425.27</v>
      </c>
      <c r="L80" s="24">
        <v>0</v>
      </c>
      <c r="M80" s="24">
        <v>1.365</v>
      </c>
      <c r="N80" s="20">
        <v>282.64999999999998</v>
      </c>
    </row>
    <row r="81" spans="1:14" s="20" customFormat="1">
      <c r="A81" s="20">
        <v>20372</v>
      </c>
      <c r="B81" s="20" t="s">
        <v>931</v>
      </c>
      <c r="C81" s="21">
        <v>42338</v>
      </c>
      <c r="D81" s="22">
        <v>30</v>
      </c>
      <c r="E81" s="23">
        <v>0.93100000000000005</v>
      </c>
      <c r="F81" s="24">
        <v>24.876000000000001</v>
      </c>
      <c r="G81" s="24">
        <v>25.187000000000001</v>
      </c>
      <c r="H81" s="24">
        <v>6540.3829999999998</v>
      </c>
      <c r="I81" s="24">
        <v>6983.21</v>
      </c>
      <c r="J81" s="24">
        <v>4.88</v>
      </c>
      <c r="K81" s="24">
        <v>437.947</v>
      </c>
      <c r="L81" s="24">
        <v>0</v>
      </c>
      <c r="M81" s="24">
        <v>1.242</v>
      </c>
      <c r="N81" s="20">
        <v>257.16699999999997</v>
      </c>
    </row>
    <row r="82" spans="1:14" s="20" customFormat="1">
      <c r="A82" s="20">
        <v>20365</v>
      </c>
      <c r="B82" s="20" t="s">
        <v>942</v>
      </c>
      <c r="C82" s="21">
        <v>42338</v>
      </c>
      <c r="D82" s="22">
        <v>0</v>
      </c>
      <c r="E82" s="23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0">
        <v>0</v>
      </c>
    </row>
    <row r="83" spans="1:14" s="20" customFormat="1">
      <c r="A83" s="20">
        <v>20373</v>
      </c>
      <c r="B83" s="20" t="s">
        <v>937</v>
      </c>
      <c r="C83" s="21">
        <v>42338</v>
      </c>
      <c r="D83" s="22">
        <v>30</v>
      </c>
      <c r="E83" s="23">
        <v>0.98799999999999999</v>
      </c>
      <c r="F83" s="24">
        <v>26.36</v>
      </c>
      <c r="G83" s="24">
        <v>26.687000000000001</v>
      </c>
      <c r="H83" s="24">
        <v>6930.0069999999996</v>
      </c>
      <c r="I83" s="24">
        <v>7390.8</v>
      </c>
      <c r="J83" s="24">
        <v>5.17</v>
      </c>
      <c r="K83" s="24">
        <v>455.62299999999999</v>
      </c>
      <c r="L83" s="24">
        <v>0</v>
      </c>
      <c r="M83" s="24">
        <v>1.3149999999999999</v>
      </c>
      <c r="N83" s="20">
        <v>272.488</v>
      </c>
    </row>
    <row r="84" spans="1:14" s="20" customFormat="1">
      <c r="A84" s="20">
        <v>20371</v>
      </c>
      <c r="B84" s="20" t="s">
        <v>950</v>
      </c>
      <c r="C84" s="21">
        <v>42338</v>
      </c>
      <c r="D84" s="22">
        <v>30</v>
      </c>
      <c r="E84" s="23">
        <v>0.71299999999999997</v>
      </c>
      <c r="F84" s="24">
        <v>18.815000000000001</v>
      </c>
      <c r="G84" s="24">
        <v>19.042000000000002</v>
      </c>
      <c r="H84" s="24">
        <v>4944.5789999999997</v>
      </c>
      <c r="I84" s="24">
        <v>5317.86</v>
      </c>
      <c r="J84" s="24">
        <v>3.69</v>
      </c>
      <c r="K84" s="24">
        <v>369.59100000000001</v>
      </c>
      <c r="L84" s="24">
        <v>0</v>
      </c>
      <c r="M84" s="24">
        <v>0.94</v>
      </c>
      <c r="N84" s="20">
        <v>194.42</v>
      </c>
    </row>
    <row r="85" spans="1:14" s="20" customFormat="1">
      <c r="A85" s="20">
        <v>20366</v>
      </c>
      <c r="B85" s="20" t="s">
        <v>932</v>
      </c>
      <c r="C85" s="21">
        <v>42338</v>
      </c>
      <c r="D85" s="22">
        <v>30</v>
      </c>
      <c r="E85" s="23">
        <v>1.0680000000000001</v>
      </c>
      <c r="F85" s="24">
        <v>27.366</v>
      </c>
      <c r="G85" s="24">
        <v>27.666</v>
      </c>
      <c r="H85" s="24">
        <v>7183.9840000000004</v>
      </c>
      <c r="I85" s="24">
        <v>7656.49</v>
      </c>
      <c r="J85" s="24">
        <v>5.36</v>
      </c>
      <c r="K85" s="24">
        <v>467.14600000000002</v>
      </c>
      <c r="L85" s="24">
        <v>0</v>
      </c>
      <c r="M85" s="24">
        <v>1.3680000000000001</v>
      </c>
      <c r="N85" s="20">
        <v>282.47399999999999</v>
      </c>
    </row>
    <row r="86" spans="1:14" s="20" customFormat="1">
      <c r="A86" s="20">
        <v>20362</v>
      </c>
      <c r="B86" s="20" t="s">
        <v>938</v>
      </c>
      <c r="C86" s="21">
        <v>42338</v>
      </c>
      <c r="D86" s="22">
        <v>30</v>
      </c>
      <c r="E86" s="23">
        <v>0.69299999999999995</v>
      </c>
      <c r="F86" s="24">
        <v>18.510999999999999</v>
      </c>
      <c r="G86" s="24">
        <v>18.742999999999999</v>
      </c>
      <c r="H86" s="24">
        <v>4866.9989999999998</v>
      </c>
      <c r="I86" s="24">
        <v>5232.66</v>
      </c>
      <c r="J86" s="24">
        <v>3.63</v>
      </c>
      <c r="K86" s="24">
        <v>362.03100000000001</v>
      </c>
      <c r="L86" s="24">
        <v>0</v>
      </c>
      <c r="M86" s="24">
        <v>0.92500000000000004</v>
      </c>
      <c r="N86" s="20">
        <v>191.37</v>
      </c>
    </row>
    <row r="87" spans="1:14" s="20" customFormat="1">
      <c r="A87" s="20">
        <v>20377</v>
      </c>
      <c r="B87" s="20" t="s">
        <v>933</v>
      </c>
      <c r="C87" s="21">
        <v>42338</v>
      </c>
      <c r="D87" s="22">
        <v>30</v>
      </c>
      <c r="E87" s="23">
        <v>0.91</v>
      </c>
      <c r="F87" s="24">
        <v>24.186</v>
      </c>
      <c r="G87" s="24">
        <v>24.484000000000002</v>
      </c>
      <c r="H87" s="24">
        <v>6357.7669999999998</v>
      </c>
      <c r="I87" s="24">
        <v>6792.18</v>
      </c>
      <c r="J87" s="24">
        <v>4.75</v>
      </c>
      <c r="K87" s="24">
        <v>429.66300000000001</v>
      </c>
      <c r="L87" s="24">
        <v>0</v>
      </c>
      <c r="M87" s="24">
        <v>1.208</v>
      </c>
      <c r="N87" s="20">
        <v>249.98699999999999</v>
      </c>
    </row>
    <row r="88" spans="1:14" s="20" customFormat="1">
      <c r="A88" s="20">
        <v>20380</v>
      </c>
      <c r="B88" s="20" t="s">
        <v>941</v>
      </c>
      <c r="C88" s="21">
        <v>42338</v>
      </c>
      <c r="D88" s="22">
        <v>30</v>
      </c>
      <c r="E88" s="23">
        <v>1.17</v>
      </c>
      <c r="F88" s="24">
        <v>31.495000000000001</v>
      </c>
      <c r="G88" s="24">
        <v>31.896000000000001</v>
      </c>
      <c r="H88" s="24">
        <v>8282.5460000000003</v>
      </c>
      <c r="I88" s="24">
        <v>8805.7099999999991</v>
      </c>
      <c r="J88" s="24">
        <v>6.18</v>
      </c>
      <c r="K88" s="24">
        <v>516.98400000000004</v>
      </c>
      <c r="L88" s="24">
        <v>0</v>
      </c>
      <c r="M88" s="24">
        <v>1.571</v>
      </c>
      <c r="N88" s="20">
        <v>325.66899999999998</v>
      </c>
    </row>
    <row r="89" spans="1:14" s="20" customFormat="1">
      <c r="A89" s="20">
        <v>20954</v>
      </c>
      <c r="B89" s="20" t="s">
        <v>999</v>
      </c>
      <c r="C89" s="21">
        <v>42338</v>
      </c>
      <c r="D89" s="22">
        <v>30</v>
      </c>
      <c r="E89" s="23">
        <v>0.64600000000000002</v>
      </c>
      <c r="F89" s="24">
        <v>5.7869999999999999</v>
      </c>
      <c r="G89" s="24">
        <v>5.5410000000000004</v>
      </c>
      <c r="H89" s="24">
        <v>3782.1170000000002</v>
      </c>
      <c r="I89" s="24">
        <v>4173.1099999999997</v>
      </c>
      <c r="J89" s="24">
        <v>0.99</v>
      </c>
      <c r="K89" s="24">
        <v>390.00299999999999</v>
      </c>
      <c r="L89" s="24">
        <v>0</v>
      </c>
      <c r="M89" s="24">
        <v>0.4</v>
      </c>
      <c r="N89" s="20">
        <v>193.88900000000001</v>
      </c>
    </row>
    <row r="90" spans="1:14" s="20" customFormat="1">
      <c r="A90" s="20">
        <v>20379</v>
      </c>
      <c r="B90" s="20" t="s">
        <v>951</v>
      </c>
      <c r="C90" s="21">
        <v>42338</v>
      </c>
      <c r="D90" s="22">
        <v>30</v>
      </c>
      <c r="E90" s="23">
        <v>0.48399999999999999</v>
      </c>
      <c r="F90" s="24">
        <v>12.616</v>
      </c>
      <c r="G90" s="24">
        <v>12.762</v>
      </c>
      <c r="H90" s="24">
        <v>3314.0520000000001</v>
      </c>
      <c r="I90" s="24">
        <v>3608.1</v>
      </c>
      <c r="J90" s="24">
        <v>2.4700000000000002</v>
      </c>
      <c r="K90" s="24">
        <v>291.57799999999997</v>
      </c>
      <c r="L90" s="24">
        <v>0</v>
      </c>
      <c r="M90" s="24">
        <v>0.63</v>
      </c>
      <c r="N90" s="20">
        <v>130.309</v>
      </c>
    </row>
    <row r="91" spans="1:14" s="20" customFormat="1">
      <c r="A91" s="20">
        <v>20381</v>
      </c>
      <c r="B91" s="20" t="s">
        <v>940</v>
      </c>
      <c r="C91" s="21">
        <v>42338</v>
      </c>
      <c r="D91" s="22">
        <v>30</v>
      </c>
      <c r="E91" s="23">
        <v>0.38600000000000001</v>
      </c>
      <c r="F91" s="24">
        <v>9.7110000000000003</v>
      </c>
      <c r="G91" s="24">
        <v>9.8119999999999994</v>
      </c>
      <c r="H91" s="24">
        <v>2547.7179999999998</v>
      </c>
      <c r="I91" s="24">
        <v>2806.43</v>
      </c>
      <c r="J91" s="24">
        <v>1.9</v>
      </c>
      <c r="K91" s="24">
        <v>256.81200000000001</v>
      </c>
      <c r="L91" s="24">
        <v>0</v>
      </c>
      <c r="M91" s="24">
        <v>0.48699999999999999</v>
      </c>
      <c r="N91" s="20">
        <v>100.176</v>
      </c>
    </row>
    <row r="92" spans="1:14" s="20" customFormat="1">
      <c r="A92" s="20">
        <v>20376</v>
      </c>
      <c r="B92" s="20" t="s">
        <v>944</v>
      </c>
      <c r="C92" s="21">
        <v>42338</v>
      </c>
      <c r="D92" s="22">
        <v>30</v>
      </c>
      <c r="E92" s="23">
        <v>0.93899999999999995</v>
      </c>
      <c r="F92" s="24">
        <v>24.471</v>
      </c>
      <c r="G92" s="24">
        <v>24.754999999999999</v>
      </c>
      <c r="H92" s="24">
        <v>6428.1729999999998</v>
      </c>
      <c r="I92" s="24">
        <v>6865.83</v>
      </c>
      <c r="J92" s="24">
        <v>4.8</v>
      </c>
      <c r="K92" s="24">
        <v>432.85700000000003</v>
      </c>
      <c r="L92" s="24">
        <v>0</v>
      </c>
      <c r="M92" s="24">
        <v>1.2230000000000001</v>
      </c>
      <c r="N92" s="20">
        <v>252.755</v>
      </c>
    </row>
    <row r="93" spans="1:14" s="20" customFormat="1">
      <c r="A93" s="20">
        <v>20382</v>
      </c>
      <c r="B93" s="20" t="s">
        <v>943</v>
      </c>
      <c r="C93" s="21">
        <v>42338</v>
      </c>
      <c r="D93" s="22">
        <v>30</v>
      </c>
      <c r="E93" s="23">
        <v>0.502</v>
      </c>
      <c r="F93" s="24">
        <v>13.804</v>
      </c>
      <c r="G93" s="24">
        <v>13.99</v>
      </c>
      <c r="H93" s="24">
        <v>3632.9830000000002</v>
      </c>
      <c r="I93" s="24">
        <v>3941.74</v>
      </c>
      <c r="J93" s="24">
        <v>2.71</v>
      </c>
      <c r="K93" s="24">
        <v>306.04700000000003</v>
      </c>
      <c r="L93" s="24">
        <v>0</v>
      </c>
      <c r="M93" s="24">
        <v>0.68799999999999994</v>
      </c>
      <c r="N93" s="20">
        <v>142.84899999999999</v>
      </c>
    </row>
    <row r="94" spans="1:14" s="20" customFormat="1">
      <c r="A94" s="20">
        <v>20956</v>
      </c>
      <c r="B94" s="20" t="s">
        <v>998</v>
      </c>
      <c r="C94" s="21">
        <v>42338</v>
      </c>
      <c r="D94" s="22">
        <v>30</v>
      </c>
      <c r="E94" s="23">
        <v>0.747</v>
      </c>
      <c r="F94" s="24">
        <v>6.7779999999999996</v>
      </c>
      <c r="G94" s="24">
        <v>6.5</v>
      </c>
      <c r="H94" s="24">
        <v>4436.7190000000001</v>
      </c>
      <c r="I94" s="24">
        <v>4738.3100000000004</v>
      </c>
      <c r="J94" s="24">
        <v>1.1599999999999999</v>
      </c>
      <c r="K94" s="24">
        <v>300.43099999999998</v>
      </c>
      <c r="L94" s="24">
        <v>0</v>
      </c>
      <c r="M94" s="24">
        <v>0.46899999999999997</v>
      </c>
      <c r="N94" s="20">
        <v>227.447</v>
      </c>
    </row>
    <row r="95" spans="1:14" s="20" customFormat="1">
      <c r="A95" s="20">
        <v>20957</v>
      </c>
      <c r="B95" s="20" t="s">
        <v>986</v>
      </c>
      <c r="C95" s="21">
        <v>42338</v>
      </c>
      <c r="D95" s="22">
        <v>30</v>
      </c>
      <c r="E95" s="23">
        <v>0.71699999999999997</v>
      </c>
      <c r="F95" s="24">
        <v>6.5289999999999999</v>
      </c>
      <c r="G95" s="24">
        <v>6.2619999999999996</v>
      </c>
      <c r="H95" s="24">
        <v>4274.1930000000002</v>
      </c>
      <c r="I95" s="24">
        <v>4681.29</v>
      </c>
      <c r="J95" s="24">
        <v>1.1200000000000001</v>
      </c>
      <c r="K95" s="24">
        <v>405.97699999999998</v>
      </c>
      <c r="L95" s="24">
        <v>0</v>
      </c>
      <c r="M95" s="24">
        <v>0.45</v>
      </c>
      <c r="N95" s="20">
        <v>219.11600000000001</v>
      </c>
    </row>
    <row r="96" spans="1:14" s="20" customFormat="1">
      <c r="A96" s="20">
        <v>20966</v>
      </c>
      <c r="B96" s="20" t="s">
        <v>1004</v>
      </c>
      <c r="C96" s="21">
        <v>42338</v>
      </c>
      <c r="D96" s="22">
        <v>30</v>
      </c>
      <c r="E96" s="23">
        <v>0.64600000000000002</v>
      </c>
      <c r="F96" s="24">
        <v>5.8550000000000004</v>
      </c>
      <c r="G96" s="24">
        <v>5.6130000000000004</v>
      </c>
      <c r="H96" s="24">
        <v>3831.4780000000001</v>
      </c>
      <c r="I96" s="24">
        <v>4218.37</v>
      </c>
      <c r="J96" s="24">
        <v>1</v>
      </c>
      <c r="K96" s="24">
        <v>385.892</v>
      </c>
      <c r="L96" s="24">
        <v>0</v>
      </c>
      <c r="M96" s="24">
        <v>0.40400000000000003</v>
      </c>
      <c r="N96" s="20">
        <v>196.42</v>
      </c>
    </row>
    <row r="97" spans="1:14" s="20" customFormat="1">
      <c r="A97" s="20">
        <v>20725</v>
      </c>
      <c r="B97" s="20" t="s">
        <v>952</v>
      </c>
      <c r="C97" s="21">
        <v>42338</v>
      </c>
      <c r="D97" s="22">
        <v>30</v>
      </c>
      <c r="E97" s="23">
        <v>0.58799999999999997</v>
      </c>
      <c r="F97" s="24">
        <v>7.3410000000000002</v>
      </c>
      <c r="G97" s="24">
        <v>7.2510000000000003</v>
      </c>
      <c r="H97" s="24">
        <v>4506.4560000000001</v>
      </c>
      <c r="I97" s="24">
        <v>4831.42</v>
      </c>
      <c r="J97" s="24">
        <v>1.31</v>
      </c>
      <c r="K97" s="24">
        <v>323.654</v>
      </c>
      <c r="L97" s="24">
        <v>0</v>
      </c>
      <c r="M97" s="24">
        <v>0.498</v>
      </c>
      <c r="N97" s="20">
        <v>91.597999999999999</v>
      </c>
    </row>
    <row r="98" spans="1:14" s="20" customFormat="1">
      <c r="A98" s="20">
        <v>20717</v>
      </c>
      <c r="B98" s="20" t="s">
        <v>953</v>
      </c>
      <c r="C98" s="21">
        <v>42338</v>
      </c>
      <c r="D98" s="22">
        <v>30</v>
      </c>
      <c r="E98" s="23">
        <v>0.40899999999999997</v>
      </c>
      <c r="F98" s="24">
        <v>4.9969999999999999</v>
      </c>
      <c r="G98" s="24">
        <v>4.9269999999999996</v>
      </c>
      <c r="H98" s="24">
        <v>3062.6570000000002</v>
      </c>
      <c r="I98" s="24">
        <v>3321.7</v>
      </c>
      <c r="J98" s="24">
        <v>0.89</v>
      </c>
      <c r="K98" s="24">
        <v>258.15300000000002</v>
      </c>
      <c r="L98" s="24">
        <v>0</v>
      </c>
      <c r="M98" s="24">
        <v>0.33900000000000002</v>
      </c>
      <c r="N98" s="20">
        <v>62.250999999999998</v>
      </c>
    </row>
    <row r="99" spans="1:14" s="20" customFormat="1">
      <c r="A99" s="20">
        <v>20962</v>
      </c>
      <c r="B99" s="20" t="s">
        <v>1005</v>
      </c>
      <c r="C99" s="21">
        <v>42338</v>
      </c>
      <c r="D99" s="22">
        <v>30</v>
      </c>
      <c r="E99" s="23">
        <v>0.76500000000000001</v>
      </c>
      <c r="F99" s="24">
        <v>6.8</v>
      </c>
      <c r="G99" s="24">
        <v>6.5039999999999996</v>
      </c>
      <c r="H99" s="24">
        <v>4439.0150000000003</v>
      </c>
      <c r="I99" s="24">
        <v>4740.71</v>
      </c>
      <c r="J99" s="24">
        <v>1.1599999999999999</v>
      </c>
      <c r="K99" s="24">
        <v>300.53500000000003</v>
      </c>
      <c r="L99" s="24">
        <v>0</v>
      </c>
      <c r="M99" s="24">
        <v>0.46899999999999997</v>
      </c>
      <c r="N99" s="20">
        <v>227.565</v>
      </c>
    </row>
    <row r="100" spans="1:14" s="20" customFormat="1">
      <c r="A100" s="20">
        <v>20967</v>
      </c>
      <c r="B100" s="20" t="s">
        <v>1000</v>
      </c>
      <c r="C100" s="21">
        <v>42338</v>
      </c>
      <c r="D100" s="22">
        <v>30</v>
      </c>
      <c r="E100" s="23">
        <v>0.745</v>
      </c>
      <c r="F100" s="24">
        <v>6.78</v>
      </c>
      <c r="G100" s="24">
        <v>6.5039999999999996</v>
      </c>
      <c r="H100" s="24">
        <v>4439.0150000000003</v>
      </c>
      <c r="I100" s="24">
        <v>4853.63</v>
      </c>
      <c r="J100" s="24">
        <v>1.1599999999999999</v>
      </c>
      <c r="K100" s="24">
        <v>413.45499999999998</v>
      </c>
      <c r="L100" s="24">
        <v>0</v>
      </c>
      <c r="M100" s="24">
        <v>0.46899999999999997</v>
      </c>
      <c r="N100" s="20">
        <v>227.565</v>
      </c>
    </row>
    <row r="101" spans="1:14" s="20" customFormat="1">
      <c r="A101" s="20">
        <v>20960</v>
      </c>
      <c r="B101" s="20" t="s">
        <v>985</v>
      </c>
      <c r="C101" s="21">
        <v>42338</v>
      </c>
      <c r="D101" s="22">
        <v>30</v>
      </c>
      <c r="E101" s="23">
        <v>0.59599999999999997</v>
      </c>
      <c r="F101" s="24">
        <v>5.343</v>
      </c>
      <c r="G101" s="24">
        <v>5.1180000000000003</v>
      </c>
      <c r="H101" s="24">
        <v>3493.0320000000002</v>
      </c>
      <c r="I101" s="24">
        <v>3864.49</v>
      </c>
      <c r="J101" s="24">
        <v>0.92</v>
      </c>
      <c r="K101" s="24">
        <v>370.53800000000001</v>
      </c>
      <c r="L101" s="24">
        <v>0</v>
      </c>
      <c r="M101" s="24">
        <v>0.371</v>
      </c>
      <c r="N101" s="20">
        <v>179.07</v>
      </c>
    </row>
    <row r="102" spans="1:14" s="20" customFormat="1">
      <c r="A102" s="20">
        <v>20012</v>
      </c>
      <c r="B102" s="20" t="s">
        <v>884</v>
      </c>
      <c r="C102" s="21">
        <v>42338</v>
      </c>
      <c r="D102" s="22">
        <v>30</v>
      </c>
      <c r="E102" s="23">
        <v>0.55200000000000005</v>
      </c>
      <c r="F102" s="24">
        <v>0.89400000000000002</v>
      </c>
      <c r="G102" s="24">
        <v>0.52400000000000002</v>
      </c>
      <c r="H102" s="24">
        <v>3006.4090000000001</v>
      </c>
      <c r="I102" s="24">
        <v>3340.7</v>
      </c>
      <c r="J102" s="24">
        <v>0</v>
      </c>
      <c r="K102" s="24">
        <v>334.291</v>
      </c>
      <c r="L102" s="24">
        <v>0</v>
      </c>
      <c r="M102" s="24">
        <v>0.182</v>
      </c>
      <c r="N102" s="20">
        <v>92.319000000000003</v>
      </c>
    </row>
    <row r="103" spans="1:14" s="20" customFormat="1">
      <c r="A103" s="20">
        <v>20011</v>
      </c>
      <c r="B103" s="20" t="s">
        <v>885</v>
      </c>
      <c r="C103" s="21">
        <v>42338</v>
      </c>
      <c r="D103" s="22">
        <v>30</v>
      </c>
      <c r="E103" s="23">
        <v>0.49299999999999999</v>
      </c>
      <c r="F103" s="24">
        <v>0.77800000000000002</v>
      </c>
      <c r="G103" s="24">
        <v>0.438</v>
      </c>
      <c r="H103" s="24">
        <v>2522.4630000000002</v>
      </c>
      <c r="I103" s="24">
        <v>2834.8</v>
      </c>
      <c r="J103" s="24">
        <v>0</v>
      </c>
      <c r="K103" s="24">
        <v>312.33699999999999</v>
      </c>
      <c r="L103" s="24">
        <v>0</v>
      </c>
      <c r="M103" s="24">
        <v>0.153</v>
      </c>
      <c r="N103" s="20">
        <v>77.459000000000003</v>
      </c>
    </row>
    <row r="104" spans="1:14" s="20" customFormat="1">
      <c r="A104" s="20">
        <v>20013</v>
      </c>
      <c r="B104" s="20" t="s">
        <v>859</v>
      </c>
      <c r="C104" s="21">
        <v>42338</v>
      </c>
      <c r="D104" s="22">
        <v>0</v>
      </c>
      <c r="E104" s="23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0">
        <v>0</v>
      </c>
    </row>
    <row r="105" spans="1:14" s="20" customFormat="1">
      <c r="A105" s="20">
        <v>18732</v>
      </c>
      <c r="B105" s="20" t="s">
        <v>868</v>
      </c>
      <c r="C105" s="21">
        <v>42338</v>
      </c>
      <c r="D105" s="22">
        <v>30</v>
      </c>
      <c r="E105" s="23">
        <v>0.51600000000000001</v>
      </c>
      <c r="F105" s="24">
        <v>0.874</v>
      </c>
      <c r="G105" s="24">
        <v>0.54400000000000004</v>
      </c>
      <c r="H105" s="24">
        <v>3122.1570000000002</v>
      </c>
      <c r="I105" s="24">
        <v>3461.7</v>
      </c>
      <c r="J105" s="24">
        <v>0</v>
      </c>
      <c r="K105" s="24">
        <v>339.54300000000001</v>
      </c>
      <c r="L105" s="24">
        <v>0</v>
      </c>
      <c r="M105" s="24">
        <v>0.186</v>
      </c>
      <c r="N105" s="20">
        <v>95.873999999999995</v>
      </c>
    </row>
    <row r="106" spans="1:14" s="20" customFormat="1">
      <c r="A106" s="20">
        <v>20955</v>
      </c>
      <c r="B106" s="20" t="s">
        <v>983</v>
      </c>
      <c r="C106" s="21">
        <v>42338</v>
      </c>
      <c r="D106" s="22">
        <v>30</v>
      </c>
      <c r="E106" s="23">
        <v>0.61099999999999999</v>
      </c>
      <c r="F106" s="24">
        <v>5.5570000000000004</v>
      </c>
      <c r="G106" s="24">
        <v>5.3280000000000003</v>
      </c>
      <c r="H106" s="24">
        <v>3636.1390000000001</v>
      </c>
      <c r="I106" s="24">
        <v>3901.2</v>
      </c>
      <c r="J106" s="24">
        <v>0.95</v>
      </c>
      <c r="K106" s="24">
        <v>264.11099999999999</v>
      </c>
      <c r="L106" s="24">
        <v>0</v>
      </c>
      <c r="M106" s="24">
        <v>0.38200000000000001</v>
      </c>
      <c r="N106" s="20">
        <v>186.40600000000001</v>
      </c>
    </row>
    <row r="107" spans="1:14" s="20" customFormat="1">
      <c r="A107" s="20">
        <v>20958</v>
      </c>
      <c r="B107" s="20" t="s">
        <v>1006</v>
      </c>
      <c r="C107" s="21">
        <v>42338</v>
      </c>
      <c r="D107" s="22">
        <v>30</v>
      </c>
      <c r="E107" s="23">
        <v>0.58799999999999997</v>
      </c>
      <c r="F107" s="24">
        <v>5.3369999999999997</v>
      </c>
      <c r="G107" s="24">
        <v>5.1180000000000003</v>
      </c>
      <c r="H107" s="24">
        <v>3493.51</v>
      </c>
      <c r="I107" s="24">
        <v>3752.07</v>
      </c>
      <c r="J107" s="24">
        <v>0.92</v>
      </c>
      <c r="K107" s="24">
        <v>257.64</v>
      </c>
      <c r="L107" s="24">
        <v>0</v>
      </c>
      <c r="M107" s="24">
        <v>0.36899999999999999</v>
      </c>
      <c r="N107" s="20">
        <v>179.09399999999999</v>
      </c>
    </row>
    <row r="108" spans="1:14" s="20" customFormat="1">
      <c r="A108" s="20">
        <v>20964</v>
      </c>
      <c r="B108" s="20" t="s">
        <v>988</v>
      </c>
      <c r="C108" s="21">
        <v>42338</v>
      </c>
      <c r="D108" s="22">
        <v>30</v>
      </c>
      <c r="E108" s="23">
        <v>0.34200000000000003</v>
      </c>
      <c r="F108" s="24">
        <v>3.2080000000000002</v>
      </c>
      <c r="G108" s="24">
        <v>3.0880000000000001</v>
      </c>
      <c r="H108" s="24">
        <v>2107.777</v>
      </c>
      <c r="I108" s="24">
        <v>2303.1</v>
      </c>
      <c r="J108" s="24">
        <v>0.55000000000000004</v>
      </c>
      <c r="K108" s="24">
        <v>194.773</v>
      </c>
      <c r="L108" s="24">
        <v>0</v>
      </c>
      <c r="M108" s="24">
        <v>0.222</v>
      </c>
      <c r="N108" s="20">
        <v>108.05500000000001</v>
      </c>
    </row>
    <row r="109" spans="1:14" s="20" customFormat="1">
      <c r="A109" s="20">
        <v>20965</v>
      </c>
      <c r="B109" s="20" t="s">
        <v>1007</v>
      </c>
      <c r="C109" s="21">
        <v>42338</v>
      </c>
      <c r="D109" s="22">
        <v>30</v>
      </c>
      <c r="E109" s="23">
        <v>0.377</v>
      </c>
      <c r="F109" s="24">
        <v>3.3940000000000001</v>
      </c>
      <c r="G109" s="24">
        <v>3.2509999999999999</v>
      </c>
      <c r="H109" s="24">
        <v>2218.7420000000002</v>
      </c>
      <c r="I109" s="24">
        <v>2532.0500000000002</v>
      </c>
      <c r="J109" s="24">
        <v>0.57999999999999996</v>
      </c>
      <c r="K109" s="24">
        <v>312.72800000000001</v>
      </c>
      <c r="L109" s="24">
        <v>0</v>
      </c>
      <c r="M109" s="24">
        <v>0.23400000000000001</v>
      </c>
      <c r="N109" s="20">
        <v>113.744</v>
      </c>
    </row>
    <row r="110" spans="1:14" s="20" customFormat="1">
      <c r="A110" s="20">
        <v>20959</v>
      </c>
      <c r="B110" s="20" t="s">
        <v>997</v>
      </c>
      <c r="C110" s="21">
        <v>42338</v>
      </c>
      <c r="D110" s="22">
        <v>30</v>
      </c>
      <c r="E110" s="23">
        <v>0.55200000000000005</v>
      </c>
      <c r="F110" s="24">
        <v>4.9989999999999997</v>
      </c>
      <c r="G110" s="24">
        <v>4.7919999999999998</v>
      </c>
      <c r="H110" s="24">
        <v>3270.6219999999998</v>
      </c>
      <c r="I110" s="24">
        <v>3631.93</v>
      </c>
      <c r="J110" s="24">
        <v>0.86</v>
      </c>
      <c r="K110" s="24">
        <v>360.44799999999998</v>
      </c>
      <c r="L110" s="24">
        <v>0</v>
      </c>
      <c r="M110" s="24">
        <v>0.34499999999999997</v>
      </c>
      <c r="N110" s="20">
        <v>167.667</v>
      </c>
    </row>
    <row r="111" spans="1:14" s="20" customFormat="1">
      <c r="A111" s="20">
        <v>18731</v>
      </c>
      <c r="B111" s="20" t="s">
        <v>886</v>
      </c>
      <c r="C111" s="21">
        <v>42338</v>
      </c>
      <c r="D111" s="22">
        <v>30</v>
      </c>
      <c r="E111" s="23">
        <v>0.54400000000000004</v>
      </c>
      <c r="F111" s="24">
        <v>0.93700000000000006</v>
      </c>
      <c r="G111" s="24">
        <v>0.59499999999999997</v>
      </c>
      <c r="H111" s="24">
        <v>3417.078</v>
      </c>
      <c r="I111" s="24">
        <v>3704.17</v>
      </c>
      <c r="J111" s="24">
        <v>0</v>
      </c>
      <c r="K111" s="24">
        <v>287.09199999999998</v>
      </c>
      <c r="L111" s="24">
        <v>0</v>
      </c>
      <c r="M111" s="24">
        <v>0.20200000000000001</v>
      </c>
      <c r="N111" s="20">
        <v>104.93</v>
      </c>
    </row>
    <row r="112" spans="1:14" s="20" customFormat="1">
      <c r="A112" s="20">
        <v>18126</v>
      </c>
      <c r="B112" s="20" t="s">
        <v>887</v>
      </c>
      <c r="C112" s="21">
        <v>42338</v>
      </c>
      <c r="D112" s="22">
        <v>0</v>
      </c>
      <c r="E112" s="23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0">
        <v>0</v>
      </c>
    </row>
    <row r="113" spans="1:14" s="20" customFormat="1">
      <c r="A113" s="20">
        <v>18146</v>
      </c>
      <c r="B113" s="20" t="s">
        <v>870</v>
      </c>
      <c r="C113" s="21">
        <v>42338</v>
      </c>
      <c r="D113" s="22">
        <v>0</v>
      </c>
      <c r="E113" s="23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0">
        <v>0</v>
      </c>
    </row>
    <row r="114" spans="1:14" s="20" customFormat="1">
      <c r="A114" s="20">
        <v>18733</v>
      </c>
      <c r="B114" s="20" t="s">
        <v>877</v>
      </c>
      <c r="C114" s="21">
        <v>42338</v>
      </c>
      <c r="D114" s="22">
        <v>30</v>
      </c>
      <c r="E114" s="23">
        <v>0.442</v>
      </c>
      <c r="F114" s="24">
        <v>0.71699999999999997</v>
      </c>
      <c r="G114" s="24">
        <v>0.42299999999999999</v>
      </c>
      <c r="H114" s="24">
        <v>2429.0990000000002</v>
      </c>
      <c r="I114" s="24">
        <v>2740.09</v>
      </c>
      <c r="J114" s="24">
        <v>0</v>
      </c>
      <c r="K114" s="24">
        <v>310.99099999999999</v>
      </c>
      <c r="L114" s="24">
        <v>0</v>
      </c>
      <c r="M114" s="24">
        <v>0.14799999999999999</v>
      </c>
      <c r="N114" s="20">
        <v>74.591999999999999</v>
      </c>
    </row>
    <row r="115" spans="1:14" s="20" customFormat="1">
      <c r="A115" s="20">
        <v>20963</v>
      </c>
      <c r="B115" s="20" t="s">
        <v>1002</v>
      </c>
      <c r="C115" s="21">
        <v>42338</v>
      </c>
      <c r="D115" s="22">
        <v>0</v>
      </c>
      <c r="E115" s="23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0">
        <v>0</v>
      </c>
    </row>
    <row r="116" spans="1:14" s="20" customFormat="1">
      <c r="A116" s="20">
        <v>20968</v>
      </c>
      <c r="B116" s="20" t="s">
        <v>989</v>
      </c>
      <c r="C116" s="21">
        <v>42338</v>
      </c>
      <c r="D116" s="22">
        <v>30</v>
      </c>
      <c r="E116" s="23">
        <v>0.47499999999999998</v>
      </c>
      <c r="F116" s="24">
        <v>4.4560000000000004</v>
      </c>
      <c r="G116" s="24">
        <v>4.2880000000000003</v>
      </c>
      <c r="H116" s="24">
        <v>2927.393</v>
      </c>
      <c r="I116" s="24">
        <v>3275.93</v>
      </c>
      <c r="J116" s="24">
        <v>0.77</v>
      </c>
      <c r="K116" s="24">
        <v>347.767</v>
      </c>
      <c r="L116" s="24">
        <v>0</v>
      </c>
      <c r="M116" s="24">
        <v>0.307</v>
      </c>
      <c r="N116" s="20">
        <v>150.072</v>
      </c>
    </row>
    <row r="117" spans="1:14" s="20" customFormat="1">
      <c r="A117" s="20">
        <v>18127</v>
      </c>
      <c r="B117" s="20" t="s">
        <v>849</v>
      </c>
      <c r="C117" s="21">
        <v>42338</v>
      </c>
      <c r="D117" s="22">
        <v>30</v>
      </c>
      <c r="E117" s="23">
        <v>0.74</v>
      </c>
      <c r="F117" s="24">
        <v>1.236</v>
      </c>
      <c r="G117" s="24">
        <v>0.75600000000000001</v>
      </c>
      <c r="H117" s="24">
        <v>4342.3980000000001</v>
      </c>
      <c r="I117" s="24">
        <v>4671.47</v>
      </c>
      <c r="J117" s="24">
        <v>0</v>
      </c>
      <c r="K117" s="24">
        <v>329.072</v>
      </c>
      <c r="L117" s="24">
        <v>0</v>
      </c>
      <c r="M117" s="24">
        <v>0.26</v>
      </c>
      <c r="N117" s="20">
        <v>133.345</v>
      </c>
    </row>
    <row r="118" spans="1:14" s="20" customFormat="1">
      <c r="A118" s="20">
        <v>18148</v>
      </c>
      <c r="B118" s="20" t="s">
        <v>853</v>
      </c>
      <c r="C118" s="21">
        <v>42338</v>
      </c>
      <c r="D118" s="22">
        <v>30</v>
      </c>
      <c r="E118" s="23">
        <v>0.57099999999999995</v>
      </c>
      <c r="F118" s="24">
        <v>0.95299999999999996</v>
      </c>
      <c r="G118" s="24">
        <v>0.58099999999999996</v>
      </c>
      <c r="H118" s="24">
        <v>3340.549</v>
      </c>
      <c r="I118" s="24">
        <v>3624.17</v>
      </c>
      <c r="J118" s="24">
        <v>0</v>
      </c>
      <c r="K118" s="24">
        <v>283.62099999999998</v>
      </c>
      <c r="L118" s="24">
        <v>0</v>
      </c>
      <c r="M118" s="24">
        <v>0.19900000000000001</v>
      </c>
      <c r="N118" s="20">
        <v>102.581</v>
      </c>
    </row>
    <row r="119" spans="1:14" s="20" customFormat="1">
      <c r="A119" s="20">
        <v>18131</v>
      </c>
      <c r="B119" s="20" t="s">
        <v>874</v>
      </c>
      <c r="C119" s="21">
        <v>42338</v>
      </c>
      <c r="D119" s="22">
        <v>30</v>
      </c>
      <c r="E119" s="23">
        <v>0.30299999999999999</v>
      </c>
      <c r="F119" s="24">
        <v>0.49399999999999999</v>
      </c>
      <c r="G119" s="24">
        <v>0.29099999999999998</v>
      </c>
      <c r="H119" s="24">
        <v>1673.192</v>
      </c>
      <c r="I119" s="24">
        <v>1947</v>
      </c>
      <c r="J119" s="24">
        <v>0</v>
      </c>
      <c r="K119" s="24">
        <v>273.80799999999999</v>
      </c>
      <c r="L119" s="24">
        <v>0</v>
      </c>
      <c r="M119" s="24">
        <v>0.1</v>
      </c>
      <c r="N119" s="20">
        <v>51.38</v>
      </c>
    </row>
    <row r="120" spans="1:14" s="20" customFormat="1">
      <c r="A120" s="20">
        <v>18128</v>
      </c>
      <c r="B120" s="20" t="s">
        <v>873</v>
      </c>
      <c r="C120" s="21">
        <v>42338</v>
      </c>
      <c r="D120" s="22">
        <v>30</v>
      </c>
      <c r="E120" s="23">
        <v>0.56499999999999995</v>
      </c>
      <c r="F120" s="24">
        <v>0.92400000000000004</v>
      </c>
      <c r="G120" s="24">
        <v>0.54900000000000004</v>
      </c>
      <c r="H120" s="24">
        <v>3156.7860000000001</v>
      </c>
      <c r="I120" s="24">
        <v>3497.9</v>
      </c>
      <c r="J120" s="24">
        <v>0</v>
      </c>
      <c r="K120" s="24">
        <v>341.11399999999998</v>
      </c>
      <c r="L120" s="24">
        <v>0</v>
      </c>
      <c r="M120" s="24">
        <v>0.19</v>
      </c>
      <c r="N120" s="20">
        <v>96.936999999999998</v>
      </c>
    </row>
    <row r="121" spans="1:14" s="20" customFormat="1">
      <c r="A121" s="20">
        <v>20970</v>
      </c>
      <c r="B121" s="20" t="s">
        <v>1001</v>
      </c>
      <c r="C121" s="21">
        <v>42338</v>
      </c>
      <c r="D121" s="22">
        <v>0</v>
      </c>
      <c r="E121" s="23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0">
        <v>0</v>
      </c>
    </row>
    <row r="122" spans="1:14" s="20" customFormat="1">
      <c r="A122" s="20">
        <v>20972</v>
      </c>
      <c r="B122" s="20" t="s">
        <v>987</v>
      </c>
      <c r="C122" s="21">
        <v>42338</v>
      </c>
      <c r="D122" s="22">
        <v>0</v>
      </c>
      <c r="E122" s="23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0">
        <v>0</v>
      </c>
    </row>
    <row r="123" spans="1:14" s="20" customFormat="1">
      <c r="A123" s="20">
        <v>20973</v>
      </c>
      <c r="B123" s="20" t="s">
        <v>1011</v>
      </c>
      <c r="C123" s="21">
        <v>42338</v>
      </c>
      <c r="D123" s="22">
        <v>30</v>
      </c>
      <c r="E123" s="23">
        <v>0.42699999999999999</v>
      </c>
      <c r="F123" s="24">
        <v>3.6920000000000002</v>
      </c>
      <c r="G123" s="24">
        <v>3.5190000000000001</v>
      </c>
      <c r="H123" s="24">
        <v>2402.2190000000001</v>
      </c>
      <c r="I123" s="24">
        <v>2723.9</v>
      </c>
      <c r="J123" s="24">
        <v>0.63</v>
      </c>
      <c r="K123" s="24">
        <v>321.05099999999999</v>
      </c>
      <c r="L123" s="24">
        <v>0</v>
      </c>
      <c r="M123" s="24">
        <v>0.254</v>
      </c>
      <c r="N123" s="20">
        <v>123.149</v>
      </c>
    </row>
    <row r="124" spans="1:14" s="20" customFormat="1">
      <c r="A124" s="20">
        <v>20969</v>
      </c>
      <c r="B124" s="20" t="s">
        <v>1012</v>
      </c>
      <c r="C124" s="21">
        <v>42338</v>
      </c>
      <c r="D124" s="22">
        <v>30</v>
      </c>
      <c r="E124" s="23">
        <v>0.73199999999999998</v>
      </c>
      <c r="F124" s="24">
        <v>6.6210000000000004</v>
      </c>
      <c r="G124" s="24">
        <v>6.3460000000000001</v>
      </c>
      <c r="H124" s="24">
        <v>4331.0150000000003</v>
      </c>
      <c r="I124" s="24">
        <v>5008.55</v>
      </c>
      <c r="J124" s="24">
        <v>1.1399999999999999</v>
      </c>
      <c r="K124" s="24">
        <v>676.39499999999998</v>
      </c>
      <c r="L124" s="24">
        <v>0</v>
      </c>
      <c r="M124" s="24">
        <v>0.45700000000000002</v>
      </c>
      <c r="N124" s="20">
        <v>222.02799999999999</v>
      </c>
    </row>
    <row r="125" spans="1:14" s="20" customFormat="1">
      <c r="A125" s="20">
        <v>18130</v>
      </c>
      <c r="B125" s="20" t="s">
        <v>850</v>
      </c>
      <c r="C125" s="21">
        <v>42338</v>
      </c>
      <c r="D125" s="22">
        <v>30</v>
      </c>
      <c r="E125" s="23">
        <v>0.86799999999999999</v>
      </c>
      <c r="F125" s="24">
        <v>1.4490000000000001</v>
      </c>
      <c r="G125" s="24">
        <v>0.88400000000000001</v>
      </c>
      <c r="H125" s="24">
        <v>5080.6080000000002</v>
      </c>
      <c r="I125" s="24">
        <v>5523.17</v>
      </c>
      <c r="J125" s="24">
        <v>0</v>
      </c>
      <c r="K125" s="24">
        <v>442.56200000000001</v>
      </c>
      <c r="L125" s="24">
        <v>0</v>
      </c>
      <c r="M125" s="24">
        <v>0.30299999999999999</v>
      </c>
      <c r="N125" s="20">
        <v>156.01300000000001</v>
      </c>
    </row>
    <row r="126" spans="1:14" s="20" customFormat="1">
      <c r="A126" s="20">
        <v>18129</v>
      </c>
      <c r="B126" s="20" t="s">
        <v>888</v>
      </c>
      <c r="C126" s="21">
        <v>42338</v>
      </c>
      <c r="D126" s="22">
        <v>30</v>
      </c>
      <c r="E126" s="23">
        <v>0.73899999999999999</v>
      </c>
      <c r="F126" s="24">
        <v>1.234</v>
      </c>
      <c r="G126" s="24">
        <v>0.753</v>
      </c>
      <c r="H126" s="24">
        <v>4323.7449999999999</v>
      </c>
      <c r="I126" s="24">
        <v>4717.8</v>
      </c>
      <c r="J126" s="24">
        <v>0</v>
      </c>
      <c r="K126" s="24">
        <v>394.05500000000001</v>
      </c>
      <c r="L126" s="24">
        <v>0</v>
      </c>
      <c r="M126" s="24">
        <v>0.25800000000000001</v>
      </c>
      <c r="N126" s="20">
        <v>132.773</v>
      </c>
    </row>
    <row r="127" spans="1:14" s="20" customFormat="1">
      <c r="A127" s="20">
        <v>20971</v>
      </c>
      <c r="B127" s="20" t="s">
        <v>982</v>
      </c>
      <c r="C127" s="21">
        <v>42338</v>
      </c>
      <c r="D127" s="22">
        <v>30</v>
      </c>
      <c r="E127" s="23">
        <v>0.67700000000000005</v>
      </c>
      <c r="F127" s="24">
        <v>5.7539999999999996</v>
      </c>
      <c r="G127" s="24">
        <v>5.4749999999999996</v>
      </c>
      <c r="H127" s="24">
        <v>3737.1570000000002</v>
      </c>
      <c r="I127" s="24">
        <v>4006.83</v>
      </c>
      <c r="J127" s="24">
        <v>0.98</v>
      </c>
      <c r="K127" s="24">
        <v>268.69299999999998</v>
      </c>
      <c r="L127" s="24">
        <v>0</v>
      </c>
      <c r="M127" s="24">
        <v>0.39800000000000002</v>
      </c>
      <c r="N127" s="20">
        <v>191.584</v>
      </c>
    </row>
    <row r="128" spans="1:14" s="20" customFormat="1">
      <c r="A128" s="20">
        <v>20975</v>
      </c>
      <c r="B128" s="20" t="s">
        <v>1013</v>
      </c>
      <c r="C128" s="21">
        <v>42338</v>
      </c>
      <c r="D128" s="22">
        <v>30</v>
      </c>
      <c r="E128" s="23">
        <v>0.435</v>
      </c>
      <c r="F128" s="24">
        <v>3.972</v>
      </c>
      <c r="G128" s="24">
        <v>3.8119999999999998</v>
      </c>
      <c r="H128" s="24">
        <v>2602.4349999999999</v>
      </c>
      <c r="I128" s="24">
        <v>2820.33</v>
      </c>
      <c r="J128" s="24">
        <v>0.68</v>
      </c>
      <c r="K128" s="24">
        <v>217.215</v>
      </c>
      <c r="L128" s="24">
        <v>0</v>
      </c>
      <c r="M128" s="24">
        <v>0.27500000000000002</v>
      </c>
      <c r="N128" s="20">
        <v>133.41300000000001</v>
      </c>
    </row>
    <row r="129" spans="1:14" s="20" customFormat="1">
      <c r="A129" s="20">
        <v>19942</v>
      </c>
      <c r="B129" s="20" t="s">
        <v>835</v>
      </c>
      <c r="C129" s="21">
        <v>42338</v>
      </c>
      <c r="D129" s="22">
        <v>30</v>
      </c>
      <c r="E129" s="23">
        <v>0.70599999999999996</v>
      </c>
      <c r="F129" s="24">
        <v>1.1359999999999999</v>
      </c>
      <c r="G129" s="24">
        <v>0.65600000000000003</v>
      </c>
      <c r="H129" s="24">
        <v>3771.5940000000001</v>
      </c>
      <c r="I129" s="24">
        <v>4160.55</v>
      </c>
      <c r="J129" s="24">
        <v>0</v>
      </c>
      <c r="K129" s="24">
        <v>388.95600000000002</v>
      </c>
      <c r="L129" s="24">
        <v>0</v>
      </c>
      <c r="M129" s="24">
        <v>0.22600000000000001</v>
      </c>
      <c r="N129" s="20">
        <v>167.18</v>
      </c>
    </row>
    <row r="130" spans="1:14" s="20" customFormat="1">
      <c r="A130" s="20">
        <v>19937</v>
      </c>
      <c r="B130" s="20" t="s">
        <v>832</v>
      </c>
      <c r="C130" s="21">
        <v>42338</v>
      </c>
      <c r="D130" s="22">
        <v>30</v>
      </c>
      <c r="E130" s="23">
        <v>0.61199999999999999</v>
      </c>
      <c r="F130" s="24">
        <v>0.98799999999999999</v>
      </c>
      <c r="G130" s="24">
        <v>0.57099999999999995</v>
      </c>
      <c r="H130" s="24">
        <v>3282.6750000000002</v>
      </c>
      <c r="I130" s="24">
        <v>3643.67</v>
      </c>
      <c r="J130" s="24">
        <v>0</v>
      </c>
      <c r="K130" s="24">
        <v>360.995</v>
      </c>
      <c r="L130" s="24">
        <v>0</v>
      </c>
      <c r="M130" s="24">
        <v>0.19500000000000001</v>
      </c>
      <c r="N130" s="20">
        <v>145.50800000000001</v>
      </c>
    </row>
    <row r="131" spans="1:14" s="20" customFormat="1">
      <c r="A131" s="20">
        <v>18147</v>
      </c>
      <c r="B131" s="20" t="s">
        <v>889</v>
      </c>
      <c r="C131" s="21">
        <v>42338</v>
      </c>
      <c r="D131" s="22">
        <v>30</v>
      </c>
      <c r="E131" s="23">
        <v>0.50900000000000001</v>
      </c>
      <c r="F131" s="24">
        <v>0.82799999999999996</v>
      </c>
      <c r="G131" s="24">
        <v>0.48899999999999999</v>
      </c>
      <c r="H131" s="24">
        <v>2812.027</v>
      </c>
      <c r="I131" s="24">
        <v>3151.67</v>
      </c>
      <c r="J131" s="24">
        <v>0</v>
      </c>
      <c r="K131" s="24">
        <v>339.64299999999997</v>
      </c>
      <c r="L131" s="24">
        <v>0</v>
      </c>
      <c r="M131" s="24">
        <v>0.17</v>
      </c>
      <c r="N131" s="20">
        <v>86.352000000000004</v>
      </c>
    </row>
    <row r="132" spans="1:14" s="20" customFormat="1">
      <c r="A132" s="20">
        <v>18353</v>
      </c>
      <c r="B132" s="20" t="s">
        <v>840</v>
      </c>
      <c r="C132" s="21">
        <v>42338</v>
      </c>
      <c r="D132" s="22">
        <v>30</v>
      </c>
      <c r="E132" s="23">
        <v>0.65200000000000002</v>
      </c>
      <c r="F132" s="24">
        <v>1.0609999999999999</v>
      </c>
      <c r="G132" s="24">
        <v>0.62</v>
      </c>
      <c r="H132" s="24">
        <v>3566.116</v>
      </c>
      <c r="I132" s="24">
        <v>3939.97</v>
      </c>
      <c r="J132" s="24">
        <v>0</v>
      </c>
      <c r="K132" s="24">
        <v>373.85399999999998</v>
      </c>
      <c r="L132" s="24">
        <v>0</v>
      </c>
      <c r="M132" s="24">
        <v>0.21099999999999999</v>
      </c>
      <c r="N132" s="20">
        <v>158.071</v>
      </c>
    </row>
    <row r="133" spans="1:14" s="20" customFormat="1">
      <c r="A133" s="20">
        <v>20067</v>
      </c>
      <c r="B133" s="20" t="s">
        <v>922</v>
      </c>
      <c r="C133" s="21">
        <v>42338</v>
      </c>
      <c r="D133" s="22">
        <v>30</v>
      </c>
      <c r="E133" s="23">
        <v>0.28699999999999998</v>
      </c>
      <c r="F133" s="24">
        <v>2.8479999999999999</v>
      </c>
      <c r="G133" s="24">
        <v>2.7709999999999999</v>
      </c>
      <c r="H133" s="24">
        <v>2089.5050000000001</v>
      </c>
      <c r="I133" s="24">
        <v>2286.25</v>
      </c>
      <c r="J133" s="24">
        <v>0.49</v>
      </c>
      <c r="K133" s="24">
        <v>196.255</v>
      </c>
      <c r="L133" s="24">
        <v>0</v>
      </c>
      <c r="M133" s="24">
        <v>0.21</v>
      </c>
      <c r="N133" s="20">
        <v>75.006</v>
      </c>
    </row>
    <row r="134" spans="1:14" s="20" customFormat="1">
      <c r="A134" s="20">
        <v>20091</v>
      </c>
      <c r="B134" s="20" t="s">
        <v>921</v>
      </c>
      <c r="C134" s="21">
        <v>42338</v>
      </c>
      <c r="D134" s="22">
        <v>30</v>
      </c>
      <c r="E134" s="23">
        <v>0.32800000000000001</v>
      </c>
      <c r="F134" s="24">
        <v>2.94</v>
      </c>
      <c r="G134" s="24">
        <v>2.8290000000000002</v>
      </c>
      <c r="H134" s="24">
        <v>2132.4569999999999</v>
      </c>
      <c r="I134" s="24">
        <v>2328.85</v>
      </c>
      <c r="J134" s="24">
        <v>0.5</v>
      </c>
      <c r="K134" s="24">
        <v>195.893</v>
      </c>
      <c r="L134" s="24">
        <v>0</v>
      </c>
      <c r="M134" s="24">
        <v>0.217</v>
      </c>
      <c r="N134" s="20">
        <v>76.548000000000002</v>
      </c>
    </row>
    <row r="135" spans="1:14" s="20" customFormat="1">
      <c r="A135" s="20">
        <v>19936</v>
      </c>
      <c r="B135" s="20" t="s">
        <v>838</v>
      </c>
      <c r="C135" s="21">
        <v>42338</v>
      </c>
      <c r="D135" s="22">
        <v>30</v>
      </c>
      <c r="E135" s="23">
        <v>0.46300000000000002</v>
      </c>
      <c r="F135" s="24">
        <v>0.73099999999999998</v>
      </c>
      <c r="G135" s="24">
        <v>0.41099999999999998</v>
      </c>
      <c r="H135" s="24">
        <v>2367.59</v>
      </c>
      <c r="I135" s="24">
        <v>2687.07</v>
      </c>
      <c r="J135" s="24">
        <v>0</v>
      </c>
      <c r="K135" s="24">
        <v>319.48</v>
      </c>
      <c r="L135" s="24">
        <v>0</v>
      </c>
      <c r="M135" s="24">
        <v>0.14299999999999999</v>
      </c>
      <c r="N135" s="20">
        <v>104.94499999999999</v>
      </c>
    </row>
    <row r="136" spans="1:14" s="20" customFormat="1">
      <c r="A136" s="20">
        <v>19943</v>
      </c>
      <c r="B136" s="20" t="s">
        <v>830</v>
      </c>
      <c r="C136" s="21">
        <v>42338</v>
      </c>
      <c r="D136" s="22">
        <v>30</v>
      </c>
      <c r="E136" s="23">
        <v>0.51100000000000001</v>
      </c>
      <c r="F136" s="24">
        <v>0.82399999999999995</v>
      </c>
      <c r="G136" s="24">
        <v>0.47499999999999998</v>
      </c>
      <c r="H136" s="24">
        <v>2728.7069999999999</v>
      </c>
      <c r="I136" s="24">
        <v>3064.57</v>
      </c>
      <c r="J136" s="24">
        <v>0</v>
      </c>
      <c r="K136" s="24">
        <v>335.863</v>
      </c>
      <c r="L136" s="24">
        <v>0</v>
      </c>
      <c r="M136" s="24">
        <v>0.16200000000000001</v>
      </c>
      <c r="N136" s="20">
        <v>120.953</v>
      </c>
    </row>
    <row r="137" spans="1:14" s="20" customFormat="1">
      <c r="A137" s="20">
        <v>19944</v>
      </c>
      <c r="B137" s="20" t="s">
        <v>834</v>
      </c>
      <c r="C137" s="21">
        <v>42338</v>
      </c>
      <c r="D137" s="22">
        <v>30</v>
      </c>
      <c r="E137" s="23">
        <v>0.45200000000000001</v>
      </c>
      <c r="F137" s="24">
        <v>0.72599999999999998</v>
      </c>
      <c r="G137" s="24">
        <v>0.41599999999999998</v>
      </c>
      <c r="H137" s="24">
        <v>2393.3229999999999</v>
      </c>
      <c r="I137" s="24">
        <v>2748.96</v>
      </c>
      <c r="J137" s="24">
        <v>0</v>
      </c>
      <c r="K137" s="24">
        <v>355.637</v>
      </c>
      <c r="L137" s="24">
        <v>0</v>
      </c>
      <c r="M137" s="24">
        <v>0.14199999999999999</v>
      </c>
      <c r="N137" s="20">
        <v>106.087</v>
      </c>
    </row>
    <row r="138" spans="1:14" s="20" customFormat="1">
      <c r="A138" s="20">
        <v>18352</v>
      </c>
      <c r="B138" s="20" t="s">
        <v>841</v>
      </c>
      <c r="C138" s="21">
        <v>42338</v>
      </c>
      <c r="D138" s="22">
        <v>30</v>
      </c>
      <c r="E138" s="23">
        <v>0.64</v>
      </c>
      <c r="F138" s="24">
        <v>1.02</v>
      </c>
      <c r="G138" s="24">
        <v>0.57899999999999996</v>
      </c>
      <c r="H138" s="24">
        <v>3329.1660000000002</v>
      </c>
      <c r="I138" s="24">
        <v>3692.27</v>
      </c>
      <c r="J138" s="24">
        <v>0</v>
      </c>
      <c r="K138" s="24">
        <v>363.10399999999998</v>
      </c>
      <c r="L138" s="24">
        <v>0</v>
      </c>
      <c r="M138" s="24">
        <v>0.19900000000000001</v>
      </c>
      <c r="N138" s="20">
        <v>147.56899999999999</v>
      </c>
    </row>
    <row r="139" spans="1:14" s="20" customFormat="1">
      <c r="A139" s="20">
        <v>18351</v>
      </c>
      <c r="B139" s="20" t="s">
        <v>837</v>
      </c>
      <c r="C139" s="21">
        <v>42338</v>
      </c>
      <c r="D139" s="22">
        <v>29</v>
      </c>
      <c r="E139" s="23">
        <v>0.51600000000000001</v>
      </c>
      <c r="F139" s="24">
        <v>0.83</v>
      </c>
      <c r="G139" s="24">
        <v>0.47799999999999998</v>
      </c>
      <c r="H139" s="24">
        <v>2751.2829999999999</v>
      </c>
      <c r="I139" s="24">
        <v>3088.17</v>
      </c>
      <c r="J139" s="24">
        <v>0</v>
      </c>
      <c r="K139" s="24">
        <v>336.887</v>
      </c>
      <c r="L139" s="24">
        <v>0</v>
      </c>
      <c r="M139" s="24">
        <v>0.16400000000000001</v>
      </c>
      <c r="N139" s="20">
        <v>121.953</v>
      </c>
    </row>
    <row r="140" spans="1:14" s="20" customFormat="1">
      <c r="A140" s="20">
        <v>20974</v>
      </c>
      <c r="B140" s="20" t="s">
        <v>1014</v>
      </c>
      <c r="C140" s="21">
        <v>42338</v>
      </c>
      <c r="D140" s="22">
        <v>30</v>
      </c>
      <c r="E140" s="23">
        <v>0.35899999999999999</v>
      </c>
      <c r="F140" s="24">
        <v>3.141</v>
      </c>
      <c r="G140" s="24">
        <v>2.9980000000000002</v>
      </c>
      <c r="H140" s="24">
        <v>2046.3630000000001</v>
      </c>
      <c r="I140" s="24">
        <v>2238.89</v>
      </c>
      <c r="J140" s="24">
        <v>0.54</v>
      </c>
      <c r="K140" s="24">
        <v>191.98699999999999</v>
      </c>
      <c r="L140" s="24">
        <v>0</v>
      </c>
      <c r="M140" s="24">
        <v>0.216</v>
      </c>
      <c r="N140" s="20">
        <v>104.90600000000001</v>
      </c>
    </row>
    <row r="141" spans="1:14" s="20" customFormat="1">
      <c r="A141" s="20">
        <v>20057</v>
      </c>
      <c r="B141" s="20" t="s">
        <v>920</v>
      </c>
      <c r="C141" s="21">
        <v>42338</v>
      </c>
      <c r="D141" s="22">
        <v>30</v>
      </c>
      <c r="E141" s="23">
        <v>0.48199999999999998</v>
      </c>
      <c r="F141" s="24">
        <v>4.6420000000000003</v>
      </c>
      <c r="G141" s="24">
        <v>4.5019999999999998</v>
      </c>
      <c r="H141" s="24">
        <v>3393.067</v>
      </c>
      <c r="I141" s="24">
        <v>3646.94</v>
      </c>
      <c r="J141" s="24">
        <v>0.79</v>
      </c>
      <c r="K141" s="24">
        <v>253.083</v>
      </c>
      <c r="L141" s="24">
        <v>0</v>
      </c>
      <c r="M141" s="24">
        <v>0.34200000000000003</v>
      </c>
      <c r="N141" s="20">
        <v>121.79900000000001</v>
      </c>
    </row>
    <row r="142" spans="1:14" s="20" customFormat="1">
      <c r="A142" s="20">
        <v>20093</v>
      </c>
      <c r="B142" s="20" t="s">
        <v>919</v>
      </c>
      <c r="C142" s="21">
        <v>42338</v>
      </c>
      <c r="D142" s="22">
        <v>30</v>
      </c>
      <c r="E142" s="23">
        <v>0.36</v>
      </c>
      <c r="F142" s="24">
        <v>3.37</v>
      </c>
      <c r="G142" s="24">
        <v>3.2589999999999999</v>
      </c>
      <c r="H142" s="24">
        <v>2457.1280000000002</v>
      </c>
      <c r="I142" s="24">
        <v>2668.32</v>
      </c>
      <c r="J142" s="24">
        <v>0.56999999999999995</v>
      </c>
      <c r="K142" s="24">
        <v>210.62200000000001</v>
      </c>
      <c r="L142" s="24">
        <v>0</v>
      </c>
      <c r="M142" s="24">
        <v>0.249</v>
      </c>
      <c r="N142" s="20">
        <v>88.201999999999998</v>
      </c>
    </row>
    <row r="143" spans="1:14" s="20" customFormat="1">
      <c r="A143" s="20">
        <v>20069</v>
      </c>
      <c r="B143" s="20" t="s">
        <v>918</v>
      </c>
      <c r="C143" s="21">
        <v>42338</v>
      </c>
      <c r="D143" s="22">
        <v>30</v>
      </c>
      <c r="E143" s="23">
        <v>0.32100000000000001</v>
      </c>
      <c r="F143" s="24">
        <v>3.58</v>
      </c>
      <c r="G143" s="24">
        <v>3.5219999999999998</v>
      </c>
      <c r="H143" s="24">
        <v>2655.1439999999998</v>
      </c>
      <c r="I143" s="24">
        <v>2875.37</v>
      </c>
      <c r="J143" s="24">
        <v>0.62</v>
      </c>
      <c r="K143" s="24">
        <v>219.60599999999999</v>
      </c>
      <c r="L143" s="24">
        <v>0</v>
      </c>
      <c r="M143" s="24">
        <v>0.26300000000000001</v>
      </c>
      <c r="N143" s="20">
        <v>95.311000000000007</v>
      </c>
    </row>
    <row r="144" spans="1:14" s="20" customFormat="1">
      <c r="A144" s="20">
        <v>19940</v>
      </c>
      <c r="B144" s="20" t="s">
        <v>833</v>
      </c>
      <c r="C144" s="21">
        <v>42338</v>
      </c>
      <c r="D144" s="22">
        <v>30</v>
      </c>
      <c r="E144" s="23">
        <v>0.39900000000000002</v>
      </c>
      <c r="F144" s="24">
        <v>0.63400000000000001</v>
      </c>
      <c r="G144" s="24">
        <v>0.35899999999999999</v>
      </c>
      <c r="H144" s="24">
        <v>2061.6680000000001</v>
      </c>
      <c r="I144" s="24">
        <v>2367.27</v>
      </c>
      <c r="J144" s="24">
        <v>0</v>
      </c>
      <c r="K144" s="24">
        <v>305.60199999999998</v>
      </c>
      <c r="L144" s="24">
        <v>0</v>
      </c>
      <c r="M144" s="24">
        <v>0.124</v>
      </c>
      <c r="N144" s="20">
        <v>91.385000000000005</v>
      </c>
    </row>
    <row r="145" spans="1:14" s="20" customFormat="1">
      <c r="A145" s="20">
        <v>19938</v>
      </c>
      <c r="B145" s="20" t="s">
        <v>839</v>
      </c>
      <c r="C145" s="21">
        <v>42338</v>
      </c>
      <c r="D145" s="22">
        <v>30</v>
      </c>
      <c r="E145" s="23">
        <v>0.45</v>
      </c>
      <c r="F145" s="24">
        <v>0.74</v>
      </c>
      <c r="G145" s="24">
        <v>0.438</v>
      </c>
      <c r="H145" s="24">
        <v>2515.8629999999998</v>
      </c>
      <c r="I145" s="24">
        <v>2842.07</v>
      </c>
      <c r="J145" s="24">
        <v>0</v>
      </c>
      <c r="K145" s="24">
        <v>326.20699999999999</v>
      </c>
      <c r="L145" s="24">
        <v>0</v>
      </c>
      <c r="M145" s="24">
        <v>0.14799999999999999</v>
      </c>
      <c r="N145" s="20">
        <v>111.518</v>
      </c>
    </row>
    <row r="146" spans="1:14" s="20" customFormat="1">
      <c r="A146" s="20">
        <v>18350</v>
      </c>
      <c r="B146" s="20" t="s">
        <v>836</v>
      </c>
      <c r="C146" s="21">
        <v>42338</v>
      </c>
      <c r="D146" s="22">
        <v>30</v>
      </c>
      <c r="E146" s="23">
        <v>0.46300000000000002</v>
      </c>
      <c r="F146" s="24">
        <v>0.748</v>
      </c>
      <c r="G146" s="24">
        <v>0.434</v>
      </c>
      <c r="H146" s="24">
        <v>2492.904</v>
      </c>
      <c r="I146" s="24">
        <v>2818.07</v>
      </c>
      <c r="J146" s="24">
        <v>0</v>
      </c>
      <c r="K146" s="24">
        <v>325.166</v>
      </c>
      <c r="L146" s="24">
        <v>0</v>
      </c>
      <c r="M146" s="24">
        <v>0.14899999999999999</v>
      </c>
      <c r="N146" s="20">
        <v>110.501</v>
      </c>
    </row>
    <row r="147" spans="1:14" s="20" customFormat="1">
      <c r="A147" s="20">
        <v>20065</v>
      </c>
      <c r="B147" s="20" t="s">
        <v>917</v>
      </c>
      <c r="C147" s="21">
        <v>42338</v>
      </c>
      <c r="D147" s="22">
        <v>30</v>
      </c>
      <c r="E147" s="23">
        <v>0.59099999999999997</v>
      </c>
      <c r="F147" s="24">
        <v>5.6070000000000002</v>
      </c>
      <c r="G147" s="24">
        <v>5.43</v>
      </c>
      <c r="H147" s="24">
        <v>4093.3</v>
      </c>
      <c r="I147" s="24">
        <v>4379.1099999999997</v>
      </c>
      <c r="J147" s="24">
        <v>0.96</v>
      </c>
      <c r="K147" s="24">
        <v>284.85000000000002</v>
      </c>
      <c r="L147" s="24">
        <v>0</v>
      </c>
      <c r="M147" s="24">
        <v>0.41399999999999998</v>
      </c>
      <c r="N147" s="20">
        <v>146.935</v>
      </c>
    </row>
    <row r="148" spans="1:14" s="20" customFormat="1">
      <c r="A148" s="20">
        <v>20087</v>
      </c>
      <c r="B148" s="20" t="s">
        <v>916</v>
      </c>
      <c r="C148" s="21">
        <v>42338</v>
      </c>
      <c r="D148" s="22">
        <v>30</v>
      </c>
      <c r="E148" s="23">
        <v>0.57999999999999996</v>
      </c>
      <c r="F148" s="24">
        <v>5.6879999999999997</v>
      </c>
      <c r="G148" s="24">
        <v>5.5270000000000001</v>
      </c>
      <c r="H148" s="24">
        <v>4166.8620000000001</v>
      </c>
      <c r="I148" s="24">
        <v>4456.03</v>
      </c>
      <c r="J148" s="24">
        <v>0.98</v>
      </c>
      <c r="K148" s="24">
        <v>288.18799999999999</v>
      </c>
      <c r="L148" s="24">
        <v>0</v>
      </c>
      <c r="M148" s="24">
        <v>0.41899999999999998</v>
      </c>
      <c r="N148" s="20">
        <v>149.57599999999999</v>
      </c>
    </row>
    <row r="149" spans="1:14" s="20" customFormat="1">
      <c r="A149" s="20">
        <v>20081</v>
      </c>
      <c r="B149" s="20" t="s">
        <v>915</v>
      </c>
      <c r="C149" s="21">
        <v>42338</v>
      </c>
      <c r="D149" s="22">
        <v>30</v>
      </c>
      <c r="E149" s="23">
        <v>0.29799999999999999</v>
      </c>
      <c r="F149" s="24">
        <v>2.8730000000000002</v>
      </c>
      <c r="G149" s="24">
        <v>2.7869999999999999</v>
      </c>
      <c r="H149" s="24">
        <v>2100.2190000000001</v>
      </c>
      <c r="I149" s="24">
        <v>2315.1999999999998</v>
      </c>
      <c r="J149" s="24">
        <v>0.49</v>
      </c>
      <c r="K149" s="24">
        <v>214.49100000000001</v>
      </c>
      <c r="L149" s="24">
        <v>0</v>
      </c>
      <c r="M149" s="24">
        <v>0.21199999999999999</v>
      </c>
      <c r="N149" s="20">
        <v>75.39</v>
      </c>
    </row>
    <row r="150" spans="1:14" s="20" customFormat="1">
      <c r="A150" s="20">
        <v>20060</v>
      </c>
      <c r="B150" s="20" t="s">
        <v>914</v>
      </c>
      <c r="C150" s="21">
        <v>42338</v>
      </c>
      <c r="D150" s="22">
        <v>30</v>
      </c>
      <c r="E150" s="23">
        <v>0.27</v>
      </c>
      <c r="F150" s="24">
        <v>2.726</v>
      </c>
      <c r="G150" s="24">
        <v>2.6579999999999999</v>
      </c>
      <c r="H150" s="24">
        <v>2003.124</v>
      </c>
      <c r="I150" s="24">
        <v>2213.6799999999998</v>
      </c>
      <c r="J150" s="24">
        <v>0.47</v>
      </c>
      <c r="K150" s="24">
        <v>210.08600000000001</v>
      </c>
      <c r="L150" s="24">
        <v>0</v>
      </c>
      <c r="M150" s="24">
        <v>0.20200000000000001</v>
      </c>
      <c r="N150" s="20">
        <v>71.905000000000001</v>
      </c>
    </row>
    <row r="151" spans="1:14" s="20" customFormat="1">
      <c r="A151" s="20">
        <v>19939</v>
      </c>
      <c r="B151" s="20" t="s">
        <v>842</v>
      </c>
      <c r="C151" s="21">
        <v>42338</v>
      </c>
      <c r="D151" s="22">
        <v>30</v>
      </c>
      <c r="E151" s="23">
        <v>0.48599999999999999</v>
      </c>
      <c r="F151" s="24">
        <v>0.78200000000000003</v>
      </c>
      <c r="G151" s="24">
        <v>0.45100000000000001</v>
      </c>
      <c r="H151" s="24">
        <v>2588.7559999999999</v>
      </c>
      <c r="I151" s="24">
        <v>2918.27</v>
      </c>
      <c r="J151" s="24">
        <v>0</v>
      </c>
      <c r="K151" s="24">
        <v>329.51400000000001</v>
      </c>
      <c r="L151" s="24">
        <v>0</v>
      </c>
      <c r="M151" s="24">
        <v>0.155</v>
      </c>
      <c r="N151" s="20">
        <v>114.749</v>
      </c>
    </row>
    <row r="152" spans="1:14" s="20" customFormat="1">
      <c r="A152" s="20">
        <v>19941</v>
      </c>
      <c r="B152" s="20" t="s">
        <v>831</v>
      </c>
      <c r="C152" s="21">
        <v>42338</v>
      </c>
      <c r="D152" s="22">
        <v>30</v>
      </c>
      <c r="E152" s="23">
        <v>0.32900000000000001</v>
      </c>
      <c r="F152" s="24">
        <v>0.53</v>
      </c>
      <c r="G152" s="24">
        <v>0.30599999999999999</v>
      </c>
      <c r="H152" s="24">
        <v>1759.2860000000001</v>
      </c>
      <c r="I152" s="24">
        <v>2051.17</v>
      </c>
      <c r="J152" s="24">
        <v>0</v>
      </c>
      <c r="K152" s="24">
        <v>291.88400000000001</v>
      </c>
      <c r="L152" s="24">
        <v>0</v>
      </c>
      <c r="M152" s="24">
        <v>0.105</v>
      </c>
      <c r="N152" s="20">
        <v>77.981999999999999</v>
      </c>
    </row>
    <row r="153" spans="1:14" s="20" customFormat="1">
      <c r="A153" s="20">
        <v>18349</v>
      </c>
      <c r="B153" s="20" t="s">
        <v>852</v>
      </c>
      <c r="C153" s="21">
        <v>42338</v>
      </c>
      <c r="D153" s="22">
        <v>30</v>
      </c>
      <c r="E153" s="23">
        <v>0.42399999999999999</v>
      </c>
      <c r="F153" s="24">
        <v>0.68200000000000005</v>
      </c>
      <c r="G153" s="24">
        <v>0.39300000000000002</v>
      </c>
      <c r="H153" s="24">
        <v>2259.6849999999999</v>
      </c>
      <c r="I153" s="24">
        <v>2574.27</v>
      </c>
      <c r="J153" s="24">
        <v>0</v>
      </c>
      <c r="K153" s="24">
        <v>314.58499999999998</v>
      </c>
      <c r="L153" s="24">
        <v>0</v>
      </c>
      <c r="M153" s="24">
        <v>0.13500000000000001</v>
      </c>
      <c r="N153" s="20">
        <v>100.163</v>
      </c>
    </row>
    <row r="154" spans="1:14" s="20" customFormat="1">
      <c r="A154" s="20">
        <v>18348</v>
      </c>
      <c r="B154" s="20" t="s">
        <v>843</v>
      </c>
      <c r="C154" s="21">
        <v>42338</v>
      </c>
      <c r="D154" s="22">
        <v>30</v>
      </c>
      <c r="E154" s="23">
        <v>0.75900000000000001</v>
      </c>
      <c r="F154" s="24">
        <v>1.232</v>
      </c>
      <c r="G154" s="24">
        <v>0.71699999999999997</v>
      </c>
      <c r="H154" s="24">
        <v>4118.0749999999998</v>
      </c>
      <c r="I154" s="24">
        <v>4516.97</v>
      </c>
      <c r="J154" s="24">
        <v>0</v>
      </c>
      <c r="K154" s="24">
        <v>398.89499999999998</v>
      </c>
      <c r="L154" s="24">
        <v>0</v>
      </c>
      <c r="M154" s="24">
        <v>0.24399999999999999</v>
      </c>
      <c r="N154" s="20">
        <v>182.53700000000001</v>
      </c>
    </row>
    <row r="155" spans="1:14" s="20" customFormat="1">
      <c r="A155" s="20">
        <v>20056</v>
      </c>
      <c r="B155" s="20" t="s">
        <v>934</v>
      </c>
      <c r="C155" s="21">
        <v>42338</v>
      </c>
      <c r="D155" s="22">
        <v>30</v>
      </c>
      <c r="E155" s="23">
        <v>0.60899999999999999</v>
      </c>
      <c r="F155" s="24">
        <v>6.0839999999999996</v>
      </c>
      <c r="G155" s="24">
        <v>5.9240000000000004</v>
      </c>
      <c r="H155" s="24">
        <v>4465.8</v>
      </c>
      <c r="I155" s="24">
        <v>4768.59</v>
      </c>
      <c r="J155" s="24">
        <v>1.04</v>
      </c>
      <c r="K155" s="24">
        <v>301.75</v>
      </c>
      <c r="L155" s="24">
        <v>0</v>
      </c>
      <c r="M155" s="24">
        <v>0.44900000000000001</v>
      </c>
      <c r="N155" s="20">
        <v>160.30699999999999</v>
      </c>
    </row>
    <row r="156" spans="1:14" s="20" customFormat="1">
      <c r="A156" s="20">
        <v>20071</v>
      </c>
      <c r="B156" s="20" t="s">
        <v>923</v>
      </c>
      <c r="C156" s="21">
        <v>42338</v>
      </c>
      <c r="D156" s="22">
        <v>30</v>
      </c>
      <c r="E156" s="23">
        <v>0.60099999999999998</v>
      </c>
      <c r="F156" s="24">
        <v>5.9329999999999998</v>
      </c>
      <c r="G156" s="24">
        <v>5.7690000000000001</v>
      </c>
      <c r="H156" s="24">
        <v>4348.2340000000004</v>
      </c>
      <c r="I156" s="24">
        <v>4645.67</v>
      </c>
      <c r="J156" s="24">
        <v>1.02</v>
      </c>
      <c r="K156" s="24">
        <v>296.416</v>
      </c>
      <c r="L156" s="24">
        <v>0</v>
      </c>
      <c r="M156" s="24">
        <v>0.437</v>
      </c>
      <c r="N156" s="20">
        <v>156.08699999999999</v>
      </c>
    </row>
    <row r="157" spans="1:14" s="20" customFormat="1">
      <c r="A157" s="20">
        <v>20079</v>
      </c>
      <c r="B157" s="20" t="s">
        <v>909</v>
      </c>
      <c r="C157" s="21">
        <v>42338</v>
      </c>
      <c r="D157" s="22">
        <v>30</v>
      </c>
      <c r="E157" s="23">
        <v>0.27500000000000002</v>
      </c>
      <c r="F157" s="24">
        <v>2.72</v>
      </c>
      <c r="G157" s="24">
        <v>2.645</v>
      </c>
      <c r="H157" s="24">
        <v>1994.0360000000001</v>
      </c>
      <c r="I157" s="24">
        <v>2184.12</v>
      </c>
      <c r="J157" s="24">
        <v>0.47</v>
      </c>
      <c r="K157" s="24">
        <v>189.614</v>
      </c>
      <c r="L157" s="24">
        <v>0</v>
      </c>
      <c r="M157" s="24">
        <v>0.2</v>
      </c>
      <c r="N157" s="20">
        <v>71.578999999999994</v>
      </c>
    </row>
    <row r="158" spans="1:14" s="20" customFormat="1">
      <c r="A158" s="20">
        <v>20062</v>
      </c>
      <c r="B158" s="20" t="s">
        <v>910</v>
      </c>
      <c r="C158" s="21">
        <v>42338</v>
      </c>
      <c r="D158" s="22">
        <v>30</v>
      </c>
      <c r="E158" s="23">
        <v>0.30299999999999999</v>
      </c>
      <c r="F158" s="24">
        <v>2.996</v>
      </c>
      <c r="G158" s="24">
        <v>2.915</v>
      </c>
      <c r="H158" s="24">
        <v>2196.3580000000002</v>
      </c>
      <c r="I158" s="24">
        <v>2397.9699999999998</v>
      </c>
      <c r="J158" s="24">
        <v>0.51</v>
      </c>
      <c r="K158" s="24">
        <v>201.102</v>
      </c>
      <c r="L158" s="24">
        <v>0</v>
      </c>
      <c r="M158" s="24">
        <v>0.222</v>
      </c>
      <c r="N158" s="20">
        <v>78.841999999999999</v>
      </c>
    </row>
    <row r="159" spans="1:14" s="20" customFormat="1">
      <c r="A159" s="20">
        <v>10675</v>
      </c>
      <c r="B159" s="20" t="s">
        <v>122</v>
      </c>
      <c r="C159" s="21">
        <v>42338</v>
      </c>
      <c r="D159" s="22">
        <v>0</v>
      </c>
      <c r="E159" s="23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0">
        <v>0</v>
      </c>
    </row>
    <row r="160" spans="1:14" s="20" customFormat="1">
      <c r="A160" s="20">
        <v>19285</v>
      </c>
      <c r="B160" s="20" t="s">
        <v>791</v>
      </c>
      <c r="C160" s="21">
        <v>42338</v>
      </c>
      <c r="D160" s="22">
        <v>30</v>
      </c>
      <c r="E160" s="23">
        <v>0.35699999999999998</v>
      </c>
      <c r="F160" s="24">
        <v>7.524</v>
      </c>
      <c r="G160" s="24">
        <v>7.5709999999999997</v>
      </c>
      <c r="H160" s="24">
        <v>2530.4989999999998</v>
      </c>
      <c r="I160" s="24">
        <v>2858.82</v>
      </c>
      <c r="J160" s="24">
        <v>1.45</v>
      </c>
      <c r="K160" s="24">
        <v>326.87099999999998</v>
      </c>
      <c r="L160" s="24">
        <v>0</v>
      </c>
      <c r="M160" s="24">
        <v>0.40400000000000003</v>
      </c>
      <c r="N160" s="20">
        <v>50.003</v>
      </c>
    </row>
    <row r="161" spans="1:14" s="20" customFormat="1">
      <c r="A161" s="20">
        <v>19287</v>
      </c>
      <c r="B161" s="20" t="s">
        <v>790</v>
      </c>
      <c r="C161" s="21">
        <v>42338</v>
      </c>
      <c r="D161" s="22">
        <v>30</v>
      </c>
      <c r="E161" s="23">
        <v>0.58199999999999996</v>
      </c>
      <c r="F161" s="24">
        <v>12.425000000000001</v>
      </c>
      <c r="G161" s="24">
        <v>12.509</v>
      </c>
      <c r="H161" s="24">
        <v>4181.1149999999998</v>
      </c>
      <c r="I161" s="24">
        <v>4585.26</v>
      </c>
      <c r="J161" s="24">
        <v>2.39</v>
      </c>
      <c r="K161" s="24">
        <v>401.755</v>
      </c>
      <c r="L161" s="24">
        <v>0</v>
      </c>
      <c r="M161" s="24">
        <v>0.66600000000000004</v>
      </c>
      <c r="N161" s="20">
        <v>82.619</v>
      </c>
    </row>
    <row r="162" spans="1:14" s="20" customFormat="1">
      <c r="A162" s="20">
        <v>18365</v>
      </c>
      <c r="B162" s="20" t="s">
        <v>792</v>
      </c>
      <c r="C162" s="21">
        <v>42338</v>
      </c>
      <c r="D162" s="22">
        <v>30</v>
      </c>
      <c r="E162" s="23">
        <v>0.40600000000000003</v>
      </c>
      <c r="F162" s="24">
        <v>8.7720000000000002</v>
      </c>
      <c r="G162" s="24">
        <v>8.8379999999999992</v>
      </c>
      <c r="H162" s="24">
        <v>2953.7950000000001</v>
      </c>
      <c r="I162" s="24">
        <v>3306.18</v>
      </c>
      <c r="J162" s="24">
        <v>1.69</v>
      </c>
      <c r="K162" s="24">
        <v>350.69499999999999</v>
      </c>
      <c r="L162" s="24">
        <v>0</v>
      </c>
      <c r="M162" s="24">
        <v>0.47199999999999998</v>
      </c>
      <c r="N162" s="20">
        <v>58.366999999999997</v>
      </c>
    </row>
    <row r="163" spans="1:14" s="20" customFormat="1">
      <c r="A163" s="20">
        <v>17574</v>
      </c>
      <c r="B163" s="20" t="s">
        <v>793</v>
      </c>
      <c r="C163" s="21">
        <v>42338</v>
      </c>
      <c r="D163" s="22">
        <v>30</v>
      </c>
      <c r="E163" s="23">
        <v>0.40200000000000002</v>
      </c>
      <c r="F163" s="24">
        <v>8.5540000000000003</v>
      </c>
      <c r="G163" s="24">
        <v>8.61</v>
      </c>
      <c r="H163" s="24">
        <v>2877.5549999999998</v>
      </c>
      <c r="I163" s="24">
        <v>3221.82</v>
      </c>
      <c r="J163" s="24">
        <v>1.65</v>
      </c>
      <c r="K163" s="24">
        <v>342.61500000000001</v>
      </c>
      <c r="L163" s="24">
        <v>0</v>
      </c>
      <c r="M163" s="24">
        <v>0.45800000000000002</v>
      </c>
      <c r="N163" s="20">
        <v>56.86</v>
      </c>
    </row>
    <row r="164" spans="1:14" s="20" customFormat="1">
      <c r="A164" s="20">
        <v>20063</v>
      </c>
      <c r="B164" s="20" t="s">
        <v>913</v>
      </c>
      <c r="C164" s="21">
        <v>42338</v>
      </c>
      <c r="D164" s="22">
        <v>30</v>
      </c>
      <c r="E164" s="23">
        <v>0.45100000000000001</v>
      </c>
      <c r="F164" s="24">
        <v>4.5129999999999999</v>
      </c>
      <c r="G164" s="24">
        <v>4.3949999999999996</v>
      </c>
      <c r="H164" s="24">
        <v>3313.2860000000001</v>
      </c>
      <c r="I164" s="24">
        <v>3563.53</v>
      </c>
      <c r="J164" s="24">
        <v>0.78</v>
      </c>
      <c r="K164" s="24">
        <v>249.464</v>
      </c>
      <c r="L164" s="24">
        <v>0</v>
      </c>
      <c r="M164" s="24">
        <v>0.33300000000000002</v>
      </c>
      <c r="N164" s="20">
        <v>118.935</v>
      </c>
    </row>
    <row r="165" spans="1:14" s="20" customFormat="1">
      <c r="A165" s="20">
        <v>20078</v>
      </c>
      <c r="B165" s="20" t="s">
        <v>908</v>
      </c>
      <c r="C165" s="21">
        <v>42338</v>
      </c>
      <c r="D165" s="22">
        <v>30</v>
      </c>
      <c r="E165" s="23">
        <v>0.57899999999999996</v>
      </c>
      <c r="F165" s="24">
        <v>5.8159999999999998</v>
      </c>
      <c r="G165" s="24">
        <v>5.6660000000000004</v>
      </c>
      <c r="H165" s="24">
        <v>4271.6099999999997</v>
      </c>
      <c r="I165" s="24">
        <v>4565.55</v>
      </c>
      <c r="J165" s="24">
        <v>1</v>
      </c>
      <c r="K165" s="24">
        <v>292.94</v>
      </c>
      <c r="L165" s="24">
        <v>0</v>
      </c>
      <c r="M165" s="24">
        <v>0.42899999999999999</v>
      </c>
      <c r="N165" s="20">
        <v>153.33600000000001</v>
      </c>
    </row>
    <row r="166" spans="1:14" s="20" customFormat="1">
      <c r="A166" s="20">
        <v>20104</v>
      </c>
      <c r="B166" s="20" t="s">
        <v>912</v>
      </c>
      <c r="C166" s="21">
        <v>42338</v>
      </c>
      <c r="D166" s="22">
        <v>30</v>
      </c>
      <c r="E166" s="23">
        <v>0.65100000000000002</v>
      </c>
      <c r="F166" s="24">
        <v>6.4980000000000002</v>
      </c>
      <c r="G166" s="24">
        <v>6.3259999999999996</v>
      </c>
      <c r="H166" s="24">
        <v>4768.4690000000001</v>
      </c>
      <c r="I166" s="24">
        <v>5085.07</v>
      </c>
      <c r="J166" s="24">
        <v>1.1200000000000001</v>
      </c>
      <c r="K166" s="24">
        <v>315.48099999999999</v>
      </c>
      <c r="L166" s="24">
        <v>0</v>
      </c>
      <c r="M166" s="24">
        <v>0.47899999999999998</v>
      </c>
      <c r="N166" s="20">
        <v>171.17099999999999</v>
      </c>
    </row>
    <row r="167" spans="1:14" s="20" customFormat="1">
      <c r="A167" s="20">
        <v>19286</v>
      </c>
      <c r="B167" s="20" t="s">
        <v>783</v>
      </c>
      <c r="C167" s="21">
        <v>42338</v>
      </c>
      <c r="D167" s="22">
        <v>30</v>
      </c>
      <c r="E167" s="23">
        <v>0.48199999999999998</v>
      </c>
      <c r="F167" s="24">
        <v>10.34</v>
      </c>
      <c r="G167" s="24">
        <v>10.412000000000001</v>
      </c>
      <c r="H167" s="24">
        <v>3480.2130000000002</v>
      </c>
      <c r="I167" s="24">
        <v>3852.16</v>
      </c>
      <c r="J167" s="24">
        <v>1.99</v>
      </c>
      <c r="K167" s="24">
        <v>369.95699999999999</v>
      </c>
      <c r="L167" s="24">
        <v>0</v>
      </c>
      <c r="M167" s="24">
        <v>0.55400000000000005</v>
      </c>
      <c r="N167" s="20">
        <v>68.769000000000005</v>
      </c>
    </row>
    <row r="168" spans="1:14" s="20" customFormat="1">
      <c r="A168" s="20">
        <v>19282</v>
      </c>
      <c r="B168" s="20" t="s">
        <v>786</v>
      </c>
      <c r="C168" s="21">
        <v>42338</v>
      </c>
      <c r="D168" s="22">
        <v>30</v>
      </c>
      <c r="E168" s="23">
        <v>0.46800000000000003</v>
      </c>
      <c r="F168" s="24">
        <v>10.009</v>
      </c>
      <c r="G168" s="24">
        <v>10.077999999999999</v>
      </c>
      <c r="H168" s="24">
        <v>3368.482</v>
      </c>
      <c r="I168" s="24">
        <v>3735.3</v>
      </c>
      <c r="J168" s="24">
        <v>1.93</v>
      </c>
      <c r="K168" s="24">
        <v>364.88799999999998</v>
      </c>
      <c r="L168" s="24">
        <v>0</v>
      </c>
      <c r="M168" s="24">
        <v>0.53700000000000003</v>
      </c>
      <c r="N168" s="20">
        <v>66.561000000000007</v>
      </c>
    </row>
    <row r="169" spans="1:14" s="20" customFormat="1">
      <c r="A169" s="20">
        <v>18366</v>
      </c>
      <c r="B169" s="20" t="s">
        <v>789</v>
      </c>
      <c r="C169" s="21">
        <v>42338</v>
      </c>
      <c r="D169" s="22">
        <v>30</v>
      </c>
      <c r="E169" s="23">
        <v>0.46800000000000003</v>
      </c>
      <c r="F169" s="24">
        <v>9.7620000000000005</v>
      </c>
      <c r="G169" s="24">
        <v>9.8179999999999996</v>
      </c>
      <c r="H169" s="24">
        <v>3281.431</v>
      </c>
      <c r="I169" s="24">
        <v>3644.25</v>
      </c>
      <c r="J169" s="24">
        <v>1.88</v>
      </c>
      <c r="K169" s="24">
        <v>360.93900000000002</v>
      </c>
      <c r="L169" s="24">
        <v>0</v>
      </c>
      <c r="M169" s="24">
        <v>0.52400000000000002</v>
      </c>
      <c r="N169" s="20">
        <v>64.840999999999994</v>
      </c>
    </row>
    <row r="170" spans="1:14" s="20" customFormat="1">
      <c r="A170" s="20">
        <v>17573</v>
      </c>
      <c r="B170" s="20" t="s">
        <v>784</v>
      </c>
      <c r="C170" s="21">
        <v>42338</v>
      </c>
      <c r="D170" s="22">
        <v>30</v>
      </c>
      <c r="E170" s="23">
        <v>0.50800000000000001</v>
      </c>
      <c r="F170" s="24">
        <v>10.798999999999999</v>
      </c>
      <c r="G170" s="24">
        <v>10.87</v>
      </c>
      <c r="H170" s="24">
        <v>3632.9830000000002</v>
      </c>
      <c r="I170" s="24">
        <v>4011.95</v>
      </c>
      <c r="J170" s="24">
        <v>2.08</v>
      </c>
      <c r="K170" s="24">
        <v>376.887</v>
      </c>
      <c r="L170" s="24">
        <v>0</v>
      </c>
      <c r="M170" s="24">
        <v>0.57899999999999996</v>
      </c>
      <c r="N170" s="20">
        <v>71.787999999999997</v>
      </c>
    </row>
    <row r="171" spans="1:14" s="20" customFormat="1">
      <c r="A171" s="20">
        <v>20712</v>
      </c>
      <c r="B171" s="20" t="s">
        <v>954</v>
      </c>
      <c r="C171" s="21">
        <v>42338</v>
      </c>
      <c r="D171" s="22">
        <v>15</v>
      </c>
      <c r="E171" s="23">
        <v>2E-3</v>
      </c>
      <c r="F171" s="24">
        <v>4.9000000000000002E-2</v>
      </c>
      <c r="G171" s="24">
        <v>5.0999999999999997E-2</v>
      </c>
      <c r="H171" s="24">
        <v>31.568000000000001</v>
      </c>
      <c r="I171" s="24">
        <v>132.16</v>
      </c>
      <c r="J171" s="24">
        <v>0.01</v>
      </c>
      <c r="K171" s="24">
        <v>100.58199999999999</v>
      </c>
      <c r="L171" s="24">
        <v>0</v>
      </c>
      <c r="M171" s="24">
        <v>4.0000000000000001E-3</v>
      </c>
      <c r="N171" s="20">
        <v>0.64200000000000002</v>
      </c>
    </row>
    <row r="172" spans="1:14" s="20" customFormat="1">
      <c r="A172" s="20">
        <v>20017</v>
      </c>
      <c r="B172" s="20" t="s">
        <v>881</v>
      </c>
      <c r="C172" s="21">
        <v>42338</v>
      </c>
      <c r="D172" s="22">
        <v>27</v>
      </c>
      <c r="E172" s="23">
        <v>0.35799999999999998</v>
      </c>
      <c r="F172" s="24">
        <v>0.502</v>
      </c>
      <c r="G172" s="24">
        <v>0.23100000000000001</v>
      </c>
      <c r="H172" s="24">
        <v>1327.4760000000001</v>
      </c>
      <c r="I172" s="24">
        <v>1585.6</v>
      </c>
      <c r="J172" s="24">
        <v>0</v>
      </c>
      <c r="K172" s="24">
        <v>258.12400000000002</v>
      </c>
      <c r="L172" s="24">
        <v>0</v>
      </c>
      <c r="M172" s="24">
        <v>8.6999999999999994E-2</v>
      </c>
      <c r="N172" s="20">
        <v>40.764000000000003</v>
      </c>
    </row>
    <row r="173" spans="1:14" s="20" customFormat="1">
      <c r="A173" s="20">
        <v>20727</v>
      </c>
      <c r="B173" s="20" t="s">
        <v>959</v>
      </c>
      <c r="C173" s="21">
        <v>42338</v>
      </c>
      <c r="D173" s="22">
        <v>30</v>
      </c>
      <c r="E173" s="23">
        <v>0.58799999999999997</v>
      </c>
      <c r="F173" s="24">
        <v>8.2219999999999995</v>
      </c>
      <c r="G173" s="24">
        <v>8.19</v>
      </c>
      <c r="H173" s="24">
        <v>5090.4610000000002</v>
      </c>
      <c r="I173" s="24">
        <v>5422.03</v>
      </c>
      <c r="J173" s="24">
        <v>1.48</v>
      </c>
      <c r="K173" s="24">
        <v>330.089</v>
      </c>
      <c r="L173" s="24">
        <v>0</v>
      </c>
      <c r="M173" s="24">
        <v>0.55600000000000005</v>
      </c>
      <c r="N173" s="20">
        <v>103.468</v>
      </c>
    </row>
    <row r="174" spans="1:14" s="20" customFormat="1">
      <c r="A174" s="20">
        <v>20710</v>
      </c>
      <c r="B174" s="20" t="s">
        <v>960</v>
      </c>
      <c r="C174" s="21">
        <v>42338</v>
      </c>
      <c r="D174" s="22">
        <v>30</v>
      </c>
      <c r="E174" s="23">
        <v>0.73199999999999998</v>
      </c>
      <c r="F174" s="24">
        <v>9.1389999999999993</v>
      </c>
      <c r="G174" s="24">
        <v>9.0259999999999998</v>
      </c>
      <c r="H174" s="24">
        <v>5609.7049999999999</v>
      </c>
      <c r="I174" s="24">
        <v>5964.98</v>
      </c>
      <c r="J174" s="24">
        <v>1.63</v>
      </c>
      <c r="K174" s="24">
        <v>353.64499999999998</v>
      </c>
      <c r="L174" s="24">
        <v>0</v>
      </c>
      <c r="M174" s="24">
        <v>0.61899999999999999</v>
      </c>
      <c r="N174" s="20">
        <v>114.02200000000001</v>
      </c>
    </row>
    <row r="175" spans="1:14" s="20" customFormat="1">
      <c r="A175" s="20">
        <v>18149</v>
      </c>
      <c r="B175" s="20" t="s">
        <v>863</v>
      </c>
      <c r="C175" s="21">
        <v>42338</v>
      </c>
      <c r="D175" s="22">
        <v>30</v>
      </c>
      <c r="E175" s="23">
        <v>0.68400000000000005</v>
      </c>
      <c r="F175" s="24">
        <v>1.1919999999999999</v>
      </c>
      <c r="G175" s="24">
        <v>0.76700000000000002</v>
      </c>
      <c r="H175" s="24">
        <v>4407.0649999999996</v>
      </c>
      <c r="I175" s="24">
        <v>4804.8999999999996</v>
      </c>
      <c r="J175" s="24">
        <v>0</v>
      </c>
      <c r="K175" s="24">
        <v>397.83499999999998</v>
      </c>
      <c r="L175" s="24">
        <v>0</v>
      </c>
      <c r="M175" s="24">
        <v>0.25900000000000001</v>
      </c>
      <c r="N175" s="20">
        <v>135.33000000000001</v>
      </c>
    </row>
    <row r="176" spans="1:14" s="20" customFormat="1">
      <c r="A176" s="20">
        <v>20024</v>
      </c>
      <c r="B176" s="20" t="s">
        <v>897</v>
      </c>
      <c r="C176" s="21">
        <v>42338</v>
      </c>
      <c r="D176" s="22">
        <v>0</v>
      </c>
      <c r="E176" s="23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0">
        <v>0</v>
      </c>
    </row>
    <row r="177" spans="1:14" s="20" customFormat="1">
      <c r="A177" s="20">
        <v>20023</v>
      </c>
      <c r="B177" s="20" t="s">
        <v>865</v>
      </c>
      <c r="C177" s="21">
        <v>42338</v>
      </c>
      <c r="D177" s="22">
        <v>0</v>
      </c>
      <c r="E177" s="23">
        <v>4.3999999999999997E-2</v>
      </c>
      <c r="F177" s="24">
        <v>4.1000000000000002E-2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3.0000000000000001E-3</v>
      </c>
      <c r="N177" s="20">
        <v>0</v>
      </c>
    </row>
    <row r="178" spans="1:14" s="20" customFormat="1">
      <c r="A178" s="20">
        <v>20719</v>
      </c>
      <c r="B178" s="20" t="s">
        <v>955</v>
      </c>
      <c r="C178" s="21">
        <v>42338</v>
      </c>
      <c r="D178" s="22">
        <v>30</v>
      </c>
      <c r="E178" s="23">
        <v>0.53800000000000003</v>
      </c>
      <c r="F178" s="24">
        <v>6.5949999999999998</v>
      </c>
      <c r="G178" s="24">
        <v>6.5039999999999996</v>
      </c>
      <c r="H178" s="24">
        <v>4042.2170000000001</v>
      </c>
      <c r="I178" s="24">
        <v>4325.93</v>
      </c>
      <c r="J178" s="24">
        <v>1.18</v>
      </c>
      <c r="K178" s="24">
        <v>282.53300000000002</v>
      </c>
      <c r="L178" s="24">
        <v>0</v>
      </c>
      <c r="M178" s="24">
        <v>0.44700000000000001</v>
      </c>
      <c r="N178" s="20">
        <v>82.161000000000001</v>
      </c>
    </row>
    <row r="179" spans="1:14" s="20" customFormat="1">
      <c r="A179" s="20">
        <v>20068</v>
      </c>
      <c r="B179" s="20" t="s">
        <v>858</v>
      </c>
      <c r="C179" s="21">
        <v>42338</v>
      </c>
      <c r="D179" s="22">
        <v>30</v>
      </c>
      <c r="E179" s="23">
        <v>1.1839999999999999</v>
      </c>
      <c r="F179" s="24">
        <v>2.5049999999999999</v>
      </c>
      <c r="G179" s="24">
        <v>1.74</v>
      </c>
      <c r="H179" s="24">
        <v>6722.1369999999997</v>
      </c>
      <c r="I179" s="24">
        <v>7239.29</v>
      </c>
      <c r="J179" s="24">
        <v>0.12</v>
      </c>
      <c r="K179" s="24">
        <v>517.03300000000002</v>
      </c>
      <c r="L179" s="24">
        <v>0</v>
      </c>
      <c r="M179" s="24">
        <v>0.41899999999999998</v>
      </c>
      <c r="N179" s="20">
        <v>331.89600000000002</v>
      </c>
    </row>
    <row r="180" spans="1:14" s="20" customFormat="1">
      <c r="A180" s="20">
        <v>20088</v>
      </c>
      <c r="B180" s="20" t="s">
        <v>882</v>
      </c>
      <c r="C180" s="21">
        <v>42338</v>
      </c>
      <c r="D180" s="22">
        <v>30</v>
      </c>
      <c r="E180" s="23">
        <v>1.349</v>
      </c>
      <c r="F180" s="24">
        <v>2.75</v>
      </c>
      <c r="G180" s="24">
        <v>1.851</v>
      </c>
      <c r="H180" s="24">
        <v>7151.8429999999998</v>
      </c>
      <c r="I180" s="24">
        <v>7704.54</v>
      </c>
      <c r="J180" s="24">
        <v>0.12</v>
      </c>
      <c r="K180" s="24">
        <v>552.577</v>
      </c>
      <c r="L180" s="24">
        <v>0</v>
      </c>
      <c r="M180" s="24">
        <v>0.45</v>
      </c>
      <c r="N180" s="20">
        <v>353.11200000000002</v>
      </c>
    </row>
    <row r="181" spans="1:14" s="20" customFormat="1">
      <c r="A181" s="20">
        <v>18730</v>
      </c>
      <c r="B181" s="20" t="s">
        <v>846</v>
      </c>
      <c r="C181" s="21">
        <v>42338</v>
      </c>
      <c r="D181" s="22">
        <v>30</v>
      </c>
      <c r="E181" s="23">
        <v>6.3E-2</v>
      </c>
      <c r="F181" s="24">
        <v>0.105</v>
      </c>
      <c r="G181" s="24">
        <v>6.4000000000000001E-2</v>
      </c>
      <c r="H181" s="24">
        <v>366.09199999999998</v>
      </c>
      <c r="I181" s="24">
        <v>580.6</v>
      </c>
      <c r="J181" s="24">
        <v>0</v>
      </c>
      <c r="K181" s="24">
        <v>214.50800000000001</v>
      </c>
      <c r="L181" s="24">
        <v>0</v>
      </c>
      <c r="M181" s="24">
        <v>2.1999999999999999E-2</v>
      </c>
      <c r="N181" s="20">
        <v>11.241</v>
      </c>
    </row>
    <row r="182" spans="1:14" s="20" customFormat="1">
      <c r="A182" s="20">
        <v>18150</v>
      </c>
      <c r="B182" s="20" t="s">
        <v>851</v>
      </c>
      <c r="C182" s="21">
        <v>42338</v>
      </c>
      <c r="D182" s="22">
        <v>30</v>
      </c>
      <c r="E182" s="23">
        <v>0.65600000000000003</v>
      </c>
      <c r="F182" s="24">
        <v>1.099</v>
      </c>
      <c r="G182" s="24">
        <v>0.67500000000000004</v>
      </c>
      <c r="H182" s="24">
        <v>3878.9250000000002</v>
      </c>
      <c r="I182" s="24">
        <v>4259.1499999999996</v>
      </c>
      <c r="J182" s="24">
        <v>0</v>
      </c>
      <c r="K182" s="24">
        <v>380.22500000000002</v>
      </c>
      <c r="L182" s="24">
        <v>0</v>
      </c>
      <c r="M182" s="24">
        <v>0.23200000000000001</v>
      </c>
      <c r="N182" s="20">
        <v>119.113</v>
      </c>
    </row>
    <row r="183" spans="1:14" s="20" customFormat="1">
      <c r="A183" s="20">
        <v>20020</v>
      </c>
      <c r="B183" s="20" t="s">
        <v>864</v>
      </c>
      <c r="C183" s="21">
        <v>42338</v>
      </c>
      <c r="D183" s="22">
        <v>30</v>
      </c>
      <c r="E183" s="23">
        <v>0.82299999999999995</v>
      </c>
      <c r="F183" s="24">
        <v>1.3819999999999999</v>
      </c>
      <c r="G183" s="24">
        <v>0.85</v>
      </c>
      <c r="H183" s="24">
        <v>4882.5919999999996</v>
      </c>
      <c r="I183" s="24">
        <v>5302</v>
      </c>
      <c r="J183" s="24">
        <v>0</v>
      </c>
      <c r="K183" s="24">
        <v>419.40800000000002</v>
      </c>
      <c r="L183" s="24">
        <v>0</v>
      </c>
      <c r="M183" s="24">
        <v>0.29099999999999998</v>
      </c>
      <c r="N183" s="20">
        <v>149.93299999999999</v>
      </c>
    </row>
    <row r="184" spans="1:14" s="20" customFormat="1">
      <c r="A184" s="20">
        <v>20084</v>
      </c>
      <c r="B184" s="20" t="s">
        <v>871</v>
      </c>
      <c r="C184" s="21">
        <v>42338</v>
      </c>
      <c r="D184" s="22">
        <v>30</v>
      </c>
      <c r="E184" s="23">
        <v>0.65</v>
      </c>
      <c r="F184" s="24">
        <v>1.3049999999999999</v>
      </c>
      <c r="G184" s="24">
        <v>0.86699999999999999</v>
      </c>
      <c r="H184" s="24">
        <v>3350.2109999999998</v>
      </c>
      <c r="I184" s="24">
        <v>3714.33</v>
      </c>
      <c r="J184" s="24">
        <v>0.06</v>
      </c>
      <c r="K184" s="24">
        <v>364.05900000000003</v>
      </c>
      <c r="L184" s="24">
        <v>0</v>
      </c>
      <c r="M184" s="24">
        <v>0.21199999999999999</v>
      </c>
      <c r="N184" s="20">
        <v>165.41300000000001</v>
      </c>
    </row>
    <row r="185" spans="1:14" s="20" customFormat="1">
      <c r="A185" s="20">
        <v>20070</v>
      </c>
      <c r="B185" s="20" t="s">
        <v>876</v>
      </c>
      <c r="C185" s="21">
        <v>42338</v>
      </c>
      <c r="D185" s="22">
        <v>30</v>
      </c>
      <c r="E185" s="23">
        <v>0.125</v>
      </c>
      <c r="F185" s="24">
        <v>0.252</v>
      </c>
      <c r="G185" s="24">
        <v>0.16900000000000001</v>
      </c>
      <c r="H185" s="24">
        <v>653.64599999999996</v>
      </c>
      <c r="I185" s="24">
        <v>895.38</v>
      </c>
      <c r="J185" s="24">
        <v>0.01</v>
      </c>
      <c r="K185" s="24">
        <v>241.72399999999999</v>
      </c>
      <c r="L185" s="24">
        <v>0</v>
      </c>
      <c r="M185" s="24">
        <v>4.2000000000000003E-2</v>
      </c>
      <c r="N185" s="20">
        <v>32.273000000000003</v>
      </c>
    </row>
    <row r="186" spans="1:14" s="42" customFormat="1">
      <c r="A186" s="42">
        <v>20073</v>
      </c>
      <c r="B186" s="42" t="s">
        <v>872</v>
      </c>
      <c r="C186" s="43">
        <v>42338</v>
      </c>
      <c r="D186" s="44">
        <v>30</v>
      </c>
      <c r="E186" s="45">
        <v>0.97099999999999997</v>
      </c>
      <c r="F186" s="46">
        <v>1.97</v>
      </c>
      <c r="G186" s="46">
        <v>1.321</v>
      </c>
      <c r="H186" s="46">
        <v>5101.9399999999996</v>
      </c>
      <c r="I186" s="46">
        <v>5561.61</v>
      </c>
      <c r="J186" s="46">
        <v>0.09</v>
      </c>
      <c r="K186" s="46">
        <v>459.58</v>
      </c>
      <c r="L186" s="46">
        <v>0</v>
      </c>
      <c r="M186" s="46">
        <v>0.32200000000000001</v>
      </c>
      <c r="N186" s="42">
        <v>251.90100000000001</v>
      </c>
    </row>
    <row r="187" spans="1:14" s="20" customFormat="1">
      <c r="A187" s="20">
        <v>20082</v>
      </c>
      <c r="B187" s="20" t="s">
        <v>880</v>
      </c>
      <c r="C187" s="21">
        <v>42338</v>
      </c>
      <c r="D187" s="22">
        <v>30</v>
      </c>
      <c r="E187" s="23">
        <v>1.6220000000000001</v>
      </c>
      <c r="F187" s="24">
        <v>3.2719999999999998</v>
      </c>
      <c r="G187" s="24">
        <v>2.1819999999999999</v>
      </c>
      <c r="H187" s="24">
        <v>8429.8619999999992</v>
      </c>
      <c r="I187" s="24">
        <v>9024.52</v>
      </c>
      <c r="J187" s="24">
        <v>0.15</v>
      </c>
      <c r="K187" s="24">
        <v>594.50800000000004</v>
      </c>
      <c r="L187" s="24">
        <v>0</v>
      </c>
      <c r="M187" s="24">
        <v>0.53200000000000003</v>
      </c>
      <c r="N187" s="20">
        <v>416.21199999999999</v>
      </c>
    </row>
    <row r="188" spans="1:14" s="20" customFormat="1">
      <c r="A188" s="20">
        <v>20076</v>
      </c>
      <c r="B188" s="20" t="s">
        <v>878</v>
      </c>
      <c r="C188" s="21">
        <v>42338</v>
      </c>
      <c r="D188" s="22">
        <v>30</v>
      </c>
      <c r="E188" s="23">
        <v>0.85499999999999998</v>
      </c>
      <c r="F188" s="24">
        <v>1.758</v>
      </c>
      <c r="G188" s="24">
        <v>1.1919999999999999</v>
      </c>
      <c r="H188" s="24">
        <v>4606.2290000000003</v>
      </c>
      <c r="I188" s="24">
        <v>5027.3500000000004</v>
      </c>
      <c r="J188" s="24">
        <v>0.08</v>
      </c>
      <c r="K188" s="24">
        <v>421.041</v>
      </c>
      <c r="L188" s="24">
        <v>0</v>
      </c>
      <c r="M188" s="24">
        <v>0.28899999999999998</v>
      </c>
      <c r="N188" s="20">
        <v>227.42599999999999</v>
      </c>
    </row>
    <row r="189" spans="1:14" s="20" customFormat="1">
      <c r="A189" s="20">
        <v>18345</v>
      </c>
      <c r="B189" s="20" t="s">
        <v>848</v>
      </c>
      <c r="C189" s="21">
        <v>42338</v>
      </c>
      <c r="D189" s="22">
        <v>30</v>
      </c>
      <c r="E189" s="23">
        <v>0.69299999999999995</v>
      </c>
      <c r="F189" s="24">
        <v>1.1100000000000001</v>
      </c>
      <c r="G189" s="24">
        <v>0.63600000000000001</v>
      </c>
      <c r="H189" s="24">
        <v>3659.8629999999998</v>
      </c>
      <c r="I189" s="24">
        <v>4037.97</v>
      </c>
      <c r="J189" s="24">
        <v>0</v>
      </c>
      <c r="K189" s="24">
        <v>378.10700000000003</v>
      </c>
      <c r="L189" s="24">
        <v>0</v>
      </c>
      <c r="M189" s="24">
        <v>0.219</v>
      </c>
      <c r="N189" s="20">
        <v>162.227</v>
      </c>
    </row>
    <row r="190" spans="1:14" s="20" customFormat="1">
      <c r="A190" s="20">
        <v>18354</v>
      </c>
      <c r="B190" s="20" t="s">
        <v>847</v>
      </c>
      <c r="C190" s="21">
        <v>42338</v>
      </c>
      <c r="D190" s="22">
        <v>30</v>
      </c>
      <c r="E190" s="23">
        <v>0.55800000000000005</v>
      </c>
      <c r="F190" s="24">
        <v>0.88700000000000001</v>
      </c>
      <c r="G190" s="24">
        <v>0.503</v>
      </c>
      <c r="H190" s="24">
        <v>2890.0859999999998</v>
      </c>
      <c r="I190" s="24">
        <v>3233.27</v>
      </c>
      <c r="J190" s="24">
        <v>0</v>
      </c>
      <c r="K190" s="24">
        <v>343.18400000000003</v>
      </c>
      <c r="L190" s="24">
        <v>0</v>
      </c>
      <c r="M190" s="24">
        <v>0.17399999999999999</v>
      </c>
      <c r="N190" s="20">
        <v>128.10599999999999</v>
      </c>
    </row>
    <row r="191" spans="1:14" s="20" customFormat="1">
      <c r="A191" s="20">
        <v>20072</v>
      </c>
      <c r="B191" s="20" t="s">
        <v>869</v>
      </c>
      <c r="C191" s="21">
        <v>42338</v>
      </c>
      <c r="D191" s="22">
        <v>30</v>
      </c>
      <c r="E191" s="23">
        <v>0.68300000000000005</v>
      </c>
      <c r="F191" s="24">
        <v>1.3979999999999999</v>
      </c>
      <c r="G191" s="24">
        <v>0.94599999999999995</v>
      </c>
      <c r="H191" s="24">
        <v>3655.9409999999998</v>
      </c>
      <c r="I191" s="24">
        <v>4033.93</v>
      </c>
      <c r="J191" s="24">
        <v>0.06</v>
      </c>
      <c r="K191" s="24">
        <v>377.92899999999997</v>
      </c>
      <c r="L191" s="24">
        <v>0</v>
      </c>
      <c r="M191" s="24">
        <v>0.23100000000000001</v>
      </c>
      <c r="N191" s="20">
        <v>180.50700000000001</v>
      </c>
    </row>
    <row r="192" spans="1:14" s="20" customFormat="1">
      <c r="A192" s="20">
        <v>18138</v>
      </c>
      <c r="B192" s="20" t="s">
        <v>879</v>
      </c>
      <c r="C192" s="21">
        <v>42338</v>
      </c>
      <c r="D192" s="22">
        <v>30</v>
      </c>
      <c r="E192" s="23">
        <v>0.625</v>
      </c>
      <c r="F192" s="24">
        <v>1.2889999999999999</v>
      </c>
      <c r="G192" s="24">
        <v>0.876</v>
      </c>
      <c r="H192" s="24">
        <v>3384.4580000000001</v>
      </c>
      <c r="I192" s="24">
        <v>3820.13</v>
      </c>
      <c r="J192" s="24">
        <v>0.06</v>
      </c>
      <c r="K192" s="24">
        <v>435.61200000000002</v>
      </c>
      <c r="L192" s="24">
        <v>0</v>
      </c>
      <c r="M192" s="24">
        <v>0.21199999999999999</v>
      </c>
      <c r="N192" s="20">
        <v>167.102</v>
      </c>
    </row>
    <row r="193" spans="1:14" s="20" customFormat="1">
      <c r="A193" s="20">
        <v>18367</v>
      </c>
      <c r="B193" s="20" t="s">
        <v>896</v>
      </c>
      <c r="C193" s="21">
        <v>42338</v>
      </c>
      <c r="D193" s="22">
        <v>30</v>
      </c>
      <c r="E193" s="23">
        <v>1.0149999999999999</v>
      </c>
      <c r="F193" s="24">
        <v>2.1419999999999999</v>
      </c>
      <c r="G193" s="24">
        <v>1.484</v>
      </c>
      <c r="H193" s="24">
        <v>5732.15</v>
      </c>
      <c r="I193" s="24">
        <v>6204.37</v>
      </c>
      <c r="J193" s="24">
        <v>0.1</v>
      </c>
      <c r="K193" s="24">
        <v>472.12</v>
      </c>
      <c r="L193" s="24">
        <v>0</v>
      </c>
      <c r="M193" s="24">
        <v>0.35699999999999998</v>
      </c>
      <c r="N193" s="20">
        <v>283.017</v>
      </c>
    </row>
    <row r="194" spans="1:14" s="20" customFormat="1">
      <c r="A194" s="20">
        <v>20074</v>
      </c>
      <c r="B194" s="20" t="s">
        <v>899</v>
      </c>
      <c r="C194" s="21">
        <v>42338</v>
      </c>
      <c r="D194" s="22">
        <v>30</v>
      </c>
      <c r="E194" s="23">
        <v>0.82199999999999995</v>
      </c>
      <c r="F194" s="24">
        <v>1.6679999999999999</v>
      </c>
      <c r="G194" s="24">
        <v>1.1180000000000001</v>
      </c>
      <c r="H194" s="24">
        <v>4319.9179999999997</v>
      </c>
      <c r="I194" s="24">
        <v>4728.04</v>
      </c>
      <c r="J194" s="24">
        <v>7.0000000000000007E-2</v>
      </c>
      <c r="K194" s="24">
        <v>408.05200000000002</v>
      </c>
      <c r="L194" s="24">
        <v>0</v>
      </c>
      <c r="M194" s="24">
        <v>0.27200000000000002</v>
      </c>
      <c r="N194" s="20">
        <v>213.29</v>
      </c>
    </row>
    <row r="195" spans="1:14" s="20" customFormat="1">
      <c r="A195" s="20">
        <v>18137</v>
      </c>
      <c r="B195" s="20" t="s">
        <v>911</v>
      </c>
      <c r="C195" s="21">
        <v>42338</v>
      </c>
      <c r="D195" s="22">
        <v>30</v>
      </c>
      <c r="E195" s="23">
        <v>0.11799999999999999</v>
      </c>
      <c r="F195" s="24">
        <v>0.253</v>
      </c>
      <c r="G195" s="24">
        <v>0.17799999999999999</v>
      </c>
      <c r="H195" s="24">
        <v>687.22299999999996</v>
      </c>
      <c r="I195" s="24">
        <v>930.48</v>
      </c>
      <c r="J195" s="24">
        <v>0.01</v>
      </c>
      <c r="K195" s="24">
        <v>243.24700000000001</v>
      </c>
      <c r="L195" s="24">
        <v>0</v>
      </c>
      <c r="M195" s="24">
        <v>4.2999999999999997E-2</v>
      </c>
      <c r="N195" s="20">
        <v>33.930999999999997</v>
      </c>
    </row>
    <row r="196" spans="1:14" s="20" customFormat="1">
      <c r="A196" s="20">
        <v>19278</v>
      </c>
      <c r="B196" s="20" t="s">
        <v>807</v>
      </c>
      <c r="C196" s="21">
        <v>42338</v>
      </c>
      <c r="D196" s="22">
        <v>30</v>
      </c>
      <c r="E196" s="23">
        <v>0.58299999999999996</v>
      </c>
      <c r="F196" s="24">
        <v>12.462</v>
      </c>
      <c r="G196" s="24">
        <v>12.548</v>
      </c>
      <c r="H196" s="24">
        <v>4193.7430000000004</v>
      </c>
      <c r="I196" s="24">
        <v>4603.09</v>
      </c>
      <c r="J196" s="24">
        <v>2.4</v>
      </c>
      <c r="K196" s="24">
        <v>406.947</v>
      </c>
      <c r="L196" s="24">
        <v>0</v>
      </c>
      <c r="M196" s="24">
        <v>0.66900000000000004</v>
      </c>
      <c r="N196" s="20">
        <v>82.867999999999995</v>
      </c>
    </row>
    <row r="197" spans="1:14" s="20" customFormat="1">
      <c r="A197" s="20">
        <v>19283</v>
      </c>
      <c r="B197" s="20" t="s">
        <v>794</v>
      </c>
      <c r="C197" s="21">
        <v>42338</v>
      </c>
      <c r="D197" s="22">
        <v>30</v>
      </c>
      <c r="E197" s="23">
        <v>0.62</v>
      </c>
      <c r="F197" s="24">
        <v>13.654999999999999</v>
      </c>
      <c r="G197" s="24">
        <v>13.766</v>
      </c>
      <c r="H197" s="24">
        <v>4600.5860000000002</v>
      </c>
      <c r="I197" s="24">
        <v>5024</v>
      </c>
      <c r="J197" s="24">
        <v>2.63</v>
      </c>
      <c r="K197" s="24">
        <v>420.78399999999999</v>
      </c>
      <c r="L197" s="24">
        <v>0</v>
      </c>
      <c r="M197" s="24">
        <v>0.73099999999999998</v>
      </c>
      <c r="N197" s="20">
        <v>90.908000000000001</v>
      </c>
    </row>
    <row r="198" spans="1:14" s="20" customFormat="1">
      <c r="A198" s="20">
        <v>20089</v>
      </c>
      <c r="B198" s="20" t="s">
        <v>862</v>
      </c>
      <c r="C198" s="21">
        <v>42338</v>
      </c>
      <c r="D198" s="22">
        <v>26</v>
      </c>
      <c r="E198" s="23">
        <v>1E-3</v>
      </c>
      <c r="F198" s="24">
        <v>6.0000000000000001E-3</v>
      </c>
      <c r="G198" s="24">
        <v>6.0000000000000001E-3</v>
      </c>
      <c r="H198" s="24">
        <v>21.524000000000001</v>
      </c>
      <c r="I198" s="24">
        <v>234.57</v>
      </c>
      <c r="J198" s="24">
        <v>0</v>
      </c>
      <c r="K198" s="24">
        <v>213.04599999999999</v>
      </c>
      <c r="L198" s="24">
        <v>0</v>
      </c>
      <c r="M198" s="24">
        <v>1E-3</v>
      </c>
      <c r="N198" s="20">
        <v>1.0620000000000001</v>
      </c>
    </row>
    <row r="199" spans="1:14" s="20" customFormat="1">
      <c r="A199" s="20">
        <v>18140</v>
      </c>
      <c r="B199" s="20" t="s">
        <v>866</v>
      </c>
      <c r="C199" s="21">
        <v>42338</v>
      </c>
      <c r="D199" s="22">
        <v>2</v>
      </c>
      <c r="E199" s="23">
        <v>0</v>
      </c>
      <c r="F199" s="24">
        <v>3.2000000000000001E-2</v>
      </c>
      <c r="G199" s="24">
        <v>0.04</v>
      </c>
      <c r="H199" s="24">
        <v>156.5</v>
      </c>
      <c r="I199" s="24">
        <v>375.67</v>
      </c>
      <c r="J199" s="24">
        <v>0</v>
      </c>
      <c r="K199" s="24">
        <v>219.17</v>
      </c>
      <c r="L199" s="24">
        <v>0</v>
      </c>
      <c r="M199" s="24">
        <v>8.0000000000000002E-3</v>
      </c>
      <c r="N199" s="20">
        <v>7.7270000000000003</v>
      </c>
    </row>
    <row r="200" spans="1:14" s="20" customFormat="1">
      <c r="A200" s="20">
        <v>16226</v>
      </c>
      <c r="B200" s="20" t="s">
        <v>643</v>
      </c>
      <c r="C200" s="21">
        <v>42338</v>
      </c>
      <c r="D200" s="22">
        <v>3</v>
      </c>
      <c r="E200" s="23">
        <v>0</v>
      </c>
      <c r="F200" s="24">
        <v>5.5E-2</v>
      </c>
      <c r="G200" s="24">
        <v>5.8000000000000003E-2</v>
      </c>
      <c r="H200" s="24">
        <v>12.818</v>
      </c>
      <c r="I200" s="24">
        <v>225.48</v>
      </c>
      <c r="J200" s="24">
        <v>0.01</v>
      </c>
      <c r="K200" s="24">
        <v>212.65199999999999</v>
      </c>
      <c r="L200" s="24">
        <v>0</v>
      </c>
      <c r="M200" s="24">
        <v>3.0000000000000001E-3</v>
      </c>
      <c r="N200" s="20">
        <v>0.34399999999999997</v>
      </c>
    </row>
    <row r="201" spans="1:14" s="20" customFormat="1">
      <c r="A201" s="20">
        <v>18133</v>
      </c>
      <c r="B201" s="20" t="s">
        <v>890</v>
      </c>
      <c r="C201" s="21">
        <v>42338</v>
      </c>
      <c r="D201" s="22">
        <v>30</v>
      </c>
      <c r="E201" s="23">
        <v>1.252</v>
      </c>
      <c r="F201" s="24">
        <v>2.6640000000000001</v>
      </c>
      <c r="G201" s="24">
        <v>1.859</v>
      </c>
      <c r="H201" s="24">
        <v>7185.3239999999996</v>
      </c>
      <c r="I201" s="24">
        <v>7723.49</v>
      </c>
      <c r="J201" s="24">
        <v>0.12</v>
      </c>
      <c r="K201" s="24">
        <v>538.04600000000005</v>
      </c>
      <c r="L201" s="24">
        <v>0</v>
      </c>
      <c r="M201" s="24">
        <v>0.44700000000000001</v>
      </c>
      <c r="N201" s="20">
        <v>354.76499999999999</v>
      </c>
    </row>
    <row r="202" spans="1:14" s="20" customFormat="1">
      <c r="A202" s="20">
        <v>20397</v>
      </c>
      <c r="B202" s="20" t="s">
        <v>883</v>
      </c>
      <c r="C202" s="21">
        <v>42338</v>
      </c>
      <c r="D202" s="22">
        <v>30</v>
      </c>
      <c r="E202" s="23">
        <v>1.181</v>
      </c>
      <c r="F202" s="24">
        <v>2.456</v>
      </c>
      <c r="G202" s="24">
        <v>1.6819999999999999</v>
      </c>
      <c r="H202" s="24">
        <v>6500.875</v>
      </c>
      <c r="I202" s="24">
        <v>7007.98</v>
      </c>
      <c r="J202" s="24">
        <v>0.11</v>
      </c>
      <c r="K202" s="24">
        <v>506.995</v>
      </c>
      <c r="L202" s="24">
        <v>0</v>
      </c>
      <c r="M202" s="24">
        <v>0.40699999999999997</v>
      </c>
      <c r="N202" s="20">
        <v>320.971</v>
      </c>
    </row>
    <row r="203" spans="1:14" s="20" customFormat="1">
      <c r="A203" s="20">
        <v>18139</v>
      </c>
      <c r="B203" s="20" t="s">
        <v>907</v>
      </c>
      <c r="C203" s="21">
        <v>42338</v>
      </c>
      <c r="D203" s="22">
        <v>0</v>
      </c>
      <c r="E203" s="23">
        <v>0</v>
      </c>
      <c r="F203" s="24">
        <v>1E-3</v>
      </c>
      <c r="G203" s="24">
        <v>1E-3</v>
      </c>
      <c r="H203" s="24">
        <v>9.5000000000000001E-2</v>
      </c>
      <c r="I203" s="24">
        <v>212.17</v>
      </c>
      <c r="J203" s="24">
        <v>0</v>
      </c>
      <c r="K203" s="24">
        <v>212.07499999999999</v>
      </c>
      <c r="L203" s="24">
        <v>0</v>
      </c>
      <c r="M203" s="24">
        <v>0</v>
      </c>
      <c r="N203" s="20">
        <v>5.0000000000000001E-3</v>
      </c>
    </row>
    <row r="204" spans="1:14" s="20" customFormat="1">
      <c r="A204" s="20">
        <v>18136</v>
      </c>
      <c r="B204" s="20" t="s">
        <v>903</v>
      </c>
      <c r="C204" s="21">
        <v>42338</v>
      </c>
      <c r="D204" s="22">
        <v>30</v>
      </c>
      <c r="E204" s="23">
        <v>0.80800000000000005</v>
      </c>
      <c r="F204" s="24">
        <v>1.6739999999999999</v>
      </c>
      <c r="G204" s="24">
        <v>1.143</v>
      </c>
      <c r="H204" s="24">
        <v>4415.8649999999998</v>
      </c>
      <c r="I204" s="24">
        <v>4828.3500000000004</v>
      </c>
      <c r="J204" s="24">
        <v>0.08</v>
      </c>
      <c r="K204" s="24">
        <v>412.40499999999997</v>
      </c>
      <c r="L204" s="24">
        <v>0</v>
      </c>
      <c r="M204" s="24">
        <v>0.27700000000000002</v>
      </c>
      <c r="N204" s="20">
        <v>218.02699999999999</v>
      </c>
    </row>
    <row r="205" spans="1:14" s="20" customFormat="1">
      <c r="A205" s="20">
        <v>16007</v>
      </c>
      <c r="B205" s="20" t="s">
        <v>636</v>
      </c>
      <c r="C205" s="21">
        <v>42338</v>
      </c>
      <c r="D205" s="22">
        <v>30</v>
      </c>
      <c r="E205" s="23">
        <v>0.53700000000000003</v>
      </c>
      <c r="F205" s="24">
        <v>21.722000000000001</v>
      </c>
      <c r="G205" s="24">
        <v>22.234000000000002</v>
      </c>
      <c r="H205" s="24">
        <v>4925.7340000000004</v>
      </c>
      <c r="I205" s="24">
        <v>5365.61</v>
      </c>
      <c r="J205" s="24">
        <v>4.34</v>
      </c>
      <c r="K205" s="24">
        <v>435.536</v>
      </c>
      <c r="L205" s="24">
        <v>0</v>
      </c>
      <c r="M205" s="24">
        <v>1.0489999999999999</v>
      </c>
      <c r="N205" s="20">
        <v>132.46799999999999</v>
      </c>
    </row>
    <row r="206" spans="1:14" s="20" customFormat="1">
      <c r="A206" s="20">
        <v>15136</v>
      </c>
      <c r="B206" s="20" t="s">
        <v>287</v>
      </c>
      <c r="C206" s="21">
        <v>42338</v>
      </c>
      <c r="D206" s="22">
        <v>27</v>
      </c>
      <c r="E206" s="23">
        <v>6.0000000000000001E-3</v>
      </c>
      <c r="F206" s="24">
        <v>0.184</v>
      </c>
      <c r="G206" s="24">
        <v>0.187</v>
      </c>
      <c r="H206" s="24">
        <v>41.325000000000003</v>
      </c>
      <c r="I206" s="24">
        <v>255.31</v>
      </c>
      <c r="J206" s="24">
        <v>0.04</v>
      </c>
      <c r="K206" s="24">
        <v>213.94499999999999</v>
      </c>
      <c r="L206" s="24">
        <v>0</v>
      </c>
      <c r="M206" s="24">
        <v>8.9999999999999993E-3</v>
      </c>
      <c r="N206" s="20">
        <v>1.111</v>
      </c>
    </row>
    <row r="207" spans="1:14" s="20" customFormat="1">
      <c r="A207" s="20">
        <v>20396</v>
      </c>
      <c r="B207" s="20" t="s">
        <v>898</v>
      </c>
      <c r="C207" s="21">
        <v>42338</v>
      </c>
      <c r="D207" s="22">
        <v>30</v>
      </c>
      <c r="E207" s="23">
        <v>0.72299999999999998</v>
      </c>
      <c r="F207" s="24">
        <v>1.484</v>
      </c>
      <c r="G207" s="24">
        <v>1.0069999999999999</v>
      </c>
      <c r="H207" s="24">
        <v>3890.7869999999998</v>
      </c>
      <c r="I207" s="24">
        <v>4279.4399999999996</v>
      </c>
      <c r="J207" s="24">
        <v>7.0000000000000007E-2</v>
      </c>
      <c r="K207" s="24">
        <v>388.58300000000003</v>
      </c>
      <c r="L207" s="24">
        <v>0</v>
      </c>
      <c r="M207" s="24">
        <v>0.246</v>
      </c>
      <c r="N207" s="20">
        <v>192.10300000000001</v>
      </c>
    </row>
    <row r="208" spans="1:14" s="20" customFormat="1">
      <c r="A208" s="20">
        <v>18134</v>
      </c>
      <c r="B208" s="20" t="s">
        <v>895</v>
      </c>
      <c r="C208" s="21">
        <v>42338</v>
      </c>
      <c r="D208" s="22">
        <v>30</v>
      </c>
      <c r="E208" s="23">
        <v>0.64700000000000002</v>
      </c>
      <c r="F208" s="24">
        <v>1.3340000000000001</v>
      </c>
      <c r="G208" s="24">
        <v>0.90700000000000003</v>
      </c>
      <c r="H208" s="24">
        <v>3507.2849999999999</v>
      </c>
      <c r="I208" s="24">
        <v>3878.53</v>
      </c>
      <c r="J208" s="24">
        <v>0.06</v>
      </c>
      <c r="K208" s="24">
        <v>371.185</v>
      </c>
      <c r="L208" s="24">
        <v>0</v>
      </c>
      <c r="M208" s="24">
        <v>0.22</v>
      </c>
      <c r="N208" s="20">
        <v>173.166</v>
      </c>
    </row>
    <row r="209" spans="1:14" s="20" customFormat="1">
      <c r="A209" s="20">
        <v>18132</v>
      </c>
      <c r="B209" s="20" t="s">
        <v>904</v>
      </c>
      <c r="C209" s="21">
        <v>42338</v>
      </c>
      <c r="D209" s="22">
        <v>30</v>
      </c>
      <c r="E209" s="23">
        <v>0.62</v>
      </c>
      <c r="F209" s="24">
        <v>1.262</v>
      </c>
      <c r="G209" s="24">
        <v>0.84899999999999998</v>
      </c>
      <c r="H209" s="24">
        <v>3282.962</v>
      </c>
      <c r="I209" s="24">
        <v>3644.03</v>
      </c>
      <c r="J209" s="24">
        <v>0.06</v>
      </c>
      <c r="K209" s="24">
        <v>361.00799999999998</v>
      </c>
      <c r="L209" s="24">
        <v>0</v>
      </c>
      <c r="M209" s="24">
        <v>0.20699999999999999</v>
      </c>
      <c r="N209" s="20">
        <v>162.09100000000001</v>
      </c>
    </row>
    <row r="210" spans="1:14" s="20" customFormat="1">
      <c r="A210" s="20">
        <v>17571</v>
      </c>
      <c r="B210" s="20" t="s">
        <v>795</v>
      </c>
      <c r="C210" s="21">
        <v>42338</v>
      </c>
      <c r="D210" s="22">
        <v>30</v>
      </c>
      <c r="E210" s="23">
        <v>0.51800000000000002</v>
      </c>
      <c r="F210" s="24">
        <v>10.519</v>
      </c>
      <c r="G210" s="24">
        <v>10.567</v>
      </c>
      <c r="H210" s="24">
        <v>3531.2959999999998</v>
      </c>
      <c r="I210" s="24">
        <v>3905.59</v>
      </c>
      <c r="J210" s="24">
        <v>2.02</v>
      </c>
      <c r="K210" s="24">
        <v>372.274</v>
      </c>
      <c r="L210" s="24">
        <v>0</v>
      </c>
      <c r="M210" s="24">
        <v>0.56599999999999995</v>
      </c>
      <c r="N210" s="20">
        <v>69.778000000000006</v>
      </c>
    </row>
    <row r="211" spans="1:14" s="20" customFormat="1">
      <c r="A211" s="20">
        <v>18175</v>
      </c>
      <c r="B211" s="20" t="s">
        <v>808</v>
      </c>
      <c r="C211" s="21">
        <v>42338</v>
      </c>
      <c r="D211" s="22">
        <v>30</v>
      </c>
      <c r="E211" s="23">
        <v>0.41099999999999998</v>
      </c>
      <c r="F211" s="24">
        <v>8.7859999999999996</v>
      </c>
      <c r="G211" s="24">
        <v>8.8469999999999995</v>
      </c>
      <c r="H211" s="24">
        <v>2956.761</v>
      </c>
      <c r="I211" s="24">
        <v>3304.66</v>
      </c>
      <c r="J211" s="24">
        <v>1.69</v>
      </c>
      <c r="K211" s="24">
        <v>346.209</v>
      </c>
      <c r="L211" s="24">
        <v>0</v>
      </c>
      <c r="M211" s="24">
        <v>0.47199999999999998</v>
      </c>
      <c r="N211" s="20">
        <v>58.427</v>
      </c>
    </row>
    <row r="212" spans="1:14" s="20" customFormat="1">
      <c r="A212" s="20">
        <v>15135</v>
      </c>
      <c r="B212" s="20" t="s">
        <v>290</v>
      </c>
      <c r="C212" s="21">
        <v>42338</v>
      </c>
      <c r="D212" s="22">
        <v>30</v>
      </c>
      <c r="E212" s="23">
        <v>0.54800000000000004</v>
      </c>
      <c r="F212" s="24">
        <v>20.231000000000002</v>
      </c>
      <c r="G212" s="24">
        <v>20.661999999999999</v>
      </c>
      <c r="H212" s="24">
        <v>4577.34</v>
      </c>
      <c r="I212" s="24">
        <v>5001.1000000000004</v>
      </c>
      <c r="J212" s="24">
        <v>4.03</v>
      </c>
      <c r="K212" s="24">
        <v>419.73</v>
      </c>
      <c r="L212" s="24">
        <v>0</v>
      </c>
      <c r="M212" s="24">
        <v>0.97899999999999998</v>
      </c>
      <c r="N212" s="20">
        <v>123.098</v>
      </c>
    </row>
    <row r="213" spans="1:14" s="20" customFormat="1">
      <c r="A213" s="20">
        <v>14445</v>
      </c>
      <c r="B213" s="20" t="s">
        <v>273</v>
      </c>
      <c r="C213" s="21">
        <v>42338</v>
      </c>
      <c r="D213" s="22">
        <v>30</v>
      </c>
      <c r="E213" s="23">
        <v>5.6000000000000001E-2</v>
      </c>
      <c r="F213" s="24">
        <v>2.08</v>
      </c>
      <c r="G213" s="24">
        <v>2.125</v>
      </c>
      <c r="H213" s="24">
        <v>470.74400000000003</v>
      </c>
      <c r="I213" s="24">
        <v>704.58</v>
      </c>
      <c r="J213" s="24">
        <v>0.41</v>
      </c>
      <c r="K213" s="24">
        <v>233.42599999999999</v>
      </c>
      <c r="L213" s="24">
        <v>0</v>
      </c>
      <c r="M213" s="24">
        <v>0.10100000000000001</v>
      </c>
      <c r="N213" s="20">
        <v>12.659000000000001</v>
      </c>
    </row>
    <row r="214" spans="1:14" s="20" customFormat="1">
      <c r="A214" s="20">
        <v>16010</v>
      </c>
      <c r="B214" s="20" t="s">
        <v>307</v>
      </c>
      <c r="C214" s="21">
        <v>42338</v>
      </c>
      <c r="D214" s="22">
        <v>30</v>
      </c>
      <c r="E214" s="23">
        <v>1.2999999999999999E-2</v>
      </c>
      <c r="F214" s="24">
        <v>0.53200000000000003</v>
      </c>
      <c r="G214" s="24">
        <v>0.54500000000000004</v>
      </c>
      <c r="H214" s="24">
        <v>120.914</v>
      </c>
      <c r="I214" s="24">
        <v>338.58</v>
      </c>
      <c r="J214" s="24">
        <v>0.11</v>
      </c>
      <c r="K214" s="24">
        <v>217.55600000000001</v>
      </c>
      <c r="L214" s="24">
        <v>0</v>
      </c>
      <c r="M214" s="24">
        <v>2.5999999999999999E-2</v>
      </c>
      <c r="N214" s="20">
        <v>3.2519999999999998</v>
      </c>
    </row>
    <row r="215" spans="1:14" s="20" customFormat="1">
      <c r="A215" s="20">
        <v>16009</v>
      </c>
      <c r="B215" s="20" t="s">
        <v>304</v>
      </c>
      <c r="C215" s="21">
        <v>42338</v>
      </c>
      <c r="D215" s="22">
        <v>30</v>
      </c>
      <c r="E215" s="23">
        <v>0.67900000000000005</v>
      </c>
      <c r="F215" s="24">
        <v>25.143000000000001</v>
      </c>
      <c r="G215" s="24">
        <v>25.681999999999999</v>
      </c>
      <c r="H215" s="24">
        <v>5689.6769999999997</v>
      </c>
      <c r="I215" s="24">
        <v>6164.88</v>
      </c>
      <c r="J215" s="24">
        <v>5.01</v>
      </c>
      <c r="K215" s="24">
        <v>470.19299999999998</v>
      </c>
      <c r="L215" s="24">
        <v>0</v>
      </c>
      <c r="M215" s="24">
        <v>1.218</v>
      </c>
      <c r="N215" s="20">
        <v>153.012</v>
      </c>
    </row>
    <row r="216" spans="1:14" s="20" customFormat="1">
      <c r="A216" s="20">
        <v>18135</v>
      </c>
      <c r="B216" s="20" t="s">
        <v>900</v>
      </c>
      <c r="C216" s="21">
        <v>42338</v>
      </c>
      <c r="D216" s="22">
        <v>30</v>
      </c>
      <c r="E216" s="23">
        <v>0.874</v>
      </c>
      <c r="F216" s="24">
        <v>1.782</v>
      </c>
      <c r="G216" s="24">
        <v>1.2</v>
      </c>
      <c r="H216" s="24">
        <v>4635.3100000000004</v>
      </c>
      <c r="I216" s="24">
        <v>5064.1000000000004</v>
      </c>
      <c r="J216" s="24">
        <v>0.08</v>
      </c>
      <c r="K216" s="24">
        <v>428.71</v>
      </c>
      <c r="L216" s="24">
        <v>0</v>
      </c>
      <c r="M216" s="24">
        <v>0.29199999999999998</v>
      </c>
      <c r="N216" s="20">
        <v>228.86199999999999</v>
      </c>
    </row>
    <row r="217" spans="1:14" s="20" customFormat="1">
      <c r="A217" s="20">
        <v>17692</v>
      </c>
      <c r="B217" s="20" t="s">
        <v>855</v>
      </c>
      <c r="C217" s="21">
        <v>42338</v>
      </c>
      <c r="D217" s="22">
        <v>21</v>
      </c>
      <c r="E217" s="23">
        <v>0.27800000000000002</v>
      </c>
      <c r="F217" s="24">
        <v>3.4220000000000002</v>
      </c>
      <c r="G217" s="24">
        <v>3.319</v>
      </c>
      <c r="H217" s="24">
        <v>976.69</v>
      </c>
      <c r="I217" s="24">
        <v>1233.71</v>
      </c>
      <c r="J217" s="24">
        <v>0.64</v>
      </c>
      <c r="K217" s="24">
        <v>256.38</v>
      </c>
      <c r="L217" s="24">
        <v>0</v>
      </c>
      <c r="M217" s="24">
        <v>0.17499999999999999</v>
      </c>
      <c r="N217" s="20">
        <v>30.934000000000001</v>
      </c>
    </row>
    <row r="218" spans="1:14" s="20" customFormat="1">
      <c r="A218" s="20">
        <v>17694</v>
      </c>
      <c r="B218" s="20" t="s">
        <v>809</v>
      </c>
      <c r="C218" s="21">
        <v>42338</v>
      </c>
      <c r="D218" s="22">
        <v>30</v>
      </c>
      <c r="E218" s="23">
        <v>0.55500000000000005</v>
      </c>
      <c r="F218" s="24">
        <v>12.067</v>
      </c>
      <c r="G218" s="24">
        <v>12.157999999999999</v>
      </c>
      <c r="H218" s="24">
        <v>4063.453</v>
      </c>
      <c r="I218" s="24">
        <v>4462.1899999999996</v>
      </c>
      <c r="J218" s="24">
        <v>2.3199999999999998</v>
      </c>
      <c r="K218" s="24">
        <v>396.41699999999997</v>
      </c>
      <c r="L218" s="24">
        <v>0</v>
      </c>
      <c r="M218" s="24">
        <v>0.64600000000000002</v>
      </c>
      <c r="N218" s="20">
        <v>80.293000000000006</v>
      </c>
    </row>
    <row r="219" spans="1:14" s="20" customFormat="1">
      <c r="A219" s="20">
        <v>16006</v>
      </c>
      <c r="B219" s="20" t="s">
        <v>310</v>
      </c>
      <c r="C219" s="21">
        <v>42338</v>
      </c>
      <c r="D219" s="22">
        <v>29</v>
      </c>
      <c r="E219" s="23">
        <v>0.38300000000000001</v>
      </c>
      <c r="F219" s="24">
        <v>14.209</v>
      </c>
      <c r="G219" s="24">
        <v>14.513</v>
      </c>
      <c r="H219" s="24">
        <v>3215.4259999999999</v>
      </c>
      <c r="I219" s="24">
        <v>3580.24</v>
      </c>
      <c r="J219" s="24">
        <v>2.83</v>
      </c>
      <c r="K219" s="24">
        <v>361.98399999999998</v>
      </c>
      <c r="L219" s="24">
        <v>0</v>
      </c>
      <c r="M219" s="24">
        <v>0.68700000000000006</v>
      </c>
      <c r="N219" s="20">
        <v>86.472999999999999</v>
      </c>
    </row>
    <row r="220" spans="1:14" s="20" customFormat="1">
      <c r="A220" s="20">
        <v>14298</v>
      </c>
      <c r="B220" s="20" t="s">
        <v>274</v>
      </c>
      <c r="C220" s="21">
        <v>42338</v>
      </c>
      <c r="D220" s="22">
        <v>30</v>
      </c>
      <c r="E220" s="23">
        <v>2.5999999999999999E-2</v>
      </c>
      <c r="F220" s="24">
        <v>1.139</v>
      </c>
      <c r="G220" s="24">
        <v>1.167</v>
      </c>
      <c r="H220" s="24">
        <v>258.56900000000002</v>
      </c>
      <c r="I220" s="24">
        <v>482.6</v>
      </c>
      <c r="J220" s="24">
        <v>0.23</v>
      </c>
      <c r="K220" s="24">
        <v>223.80099999999999</v>
      </c>
      <c r="L220" s="24">
        <v>0</v>
      </c>
      <c r="M220" s="24">
        <v>5.3999999999999999E-2</v>
      </c>
      <c r="N220" s="20">
        <v>6.9539999999999997</v>
      </c>
    </row>
    <row r="221" spans="1:14" s="20" customFormat="1">
      <c r="A221" s="20">
        <v>16020</v>
      </c>
      <c r="B221" s="20" t="s">
        <v>305</v>
      </c>
      <c r="C221" s="21">
        <v>42338</v>
      </c>
      <c r="D221" s="22">
        <v>30</v>
      </c>
      <c r="E221" s="23">
        <v>0.52300000000000002</v>
      </c>
      <c r="F221" s="24">
        <v>20.103000000000002</v>
      </c>
      <c r="G221" s="24">
        <v>20.553000000000001</v>
      </c>
      <c r="H221" s="24">
        <v>4553.1379999999999</v>
      </c>
      <c r="I221" s="24">
        <v>4977.51</v>
      </c>
      <c r="J221" s="24">
        <v>4.01</v>
      </c>
      <c r="K221" s="24">
        <v>420.36200000000002</v>
      </c>
      <c r="L221" s="24">
        <v>0</v>
      </c>
      <c r="M221" s="24">
        <v>0.97299999999999998</v>
      </c>
      <c r="N221" s="20">
        <v>122.447</v>
      </c>
    </row>
    <row r="222" spans="1:14" s="20" customFormat="1">
      <c r="A222" s="20">
        <v>16001</v>
      </c>
      <c r="B222" s="20" t="s">
        <v>303</v>
      </c>
      <c r="C222" s="21">
        <v>42338</v>
      </c>
      <c r="D222" s="22">
        <v>30</v>
      </c>
      <c r="E222" s="23">
        <v>0.21199999999999999</v>
      </c>
      <c r="F222" s="24">
        <v>8.4920000000000009</v>
      </c>
      <c r="G222" s="24">
        <v>8.6910000000000007</v>
      </c>
      <c r="H222" s="24">
        <v>1925.4480000000001</v>
      </c>
      <c r="I222" s="24">
        <v>2226.5700000000002</v>
      </c>
      <c r="J222" s="24">
        <v>1.7</v>
      </c>
      <c r="K222" s="24">
        <v>299.42200000000003</v>
      </c>
      <c r="L222" s="24">
        <v>0</v>
      </c>
      <c r="M222" s="24">
        <v>0.41099999999999998</v>
      </c>
      <c r="N222" s="20">
        <v>51.78</v>
      </c>
    </row>
    <row r="223" spans="1:14" s="20" customFormat="1">
      <c r="A223" s="20">
        <v>13983</v>
      </c>
      <c r="B223" s="20" t="s">
        <v>275</v>
      </c>
      <c r="C223" s="21">
        <v>42338</v>
      </c>
      <c r="D223" s="22">
        <v>30</v>
      </c>
      <c r="E223" s="23">
        <v>0.59599999999999997</v>
      </c>
      <c r="F223" s="24">
        <v>22.324000000000002</v>
      </c>
      <c r="G223" s="24">
        <v>22.684000000000001</v>
      </c>
      <c r="H223" s="24">
        <v>2824.08</v>
      </c>
      <c r="I223" s="24">
        <v>3097.94</v>
      </c>
      <c r="J223" s="24">
        <v>4.51</v>
      </c>
      <c r="K223" s="24">
        <v>269.35000000000002</v>
      </c>
      <c r="L223" s="24">
        <v>0</v>
      </c>
      <c r="M223" s="24">
        <v>0.95599999999999996</v>
      </c>
      <c r="N223" s="20">
        <v>62.719000000000001</v>
      </c>
    </row>
    <row r="224" spans="1:14" s="20" customFormat="1">
      <c r="A224" s="20">
        <v>18009</v>
      </c>
      <c r="B224" s="20" t="s">
        <v>861</v>
      </c>
      <c r="C224" s="21">
        <v>42338</v>
      </c>
      <c r="D224" s="22">
        <v>30</v>
      </c>
      <c r="E224" s="23">
        <v>0.78700000000000003</v>
      </c>
      <c r="F224" s="24">
        <v>15.422000000000001</v>
      </c>
      <c r="G224" s="24">
        <v>15.423</v>
      </c>
      <c r="H224" s="24">
        <v>4538.2150000000001</v>
      </c>
      <c r="I224" s="24">
        <v>4959.1400000000003</v>
      </c>
      <c r="J224" s="24">
        <v>2.97</v>
      </c>
      <c r="K224" s="24">
        <v>417.95499999999998</v>
      </c>
      <c r="L224" s="24">
        <v>0</v>
      </c>
      <c r="M224" s="24">
        <v>0.78800000000000003</v>
      </c>
      <c r="N224" s="20">
        <v>143.73699999999999</v>
      </c>
    </row>
    <row r="225" spans="1:14" s="20" customFormat="1">
      <c r="A225" s="20">
        <v>19502</v>
      </c>
      <c r="B225" s="20" t="s">
        <v>844</v>
      </c>
      <c r="C225" s="21">
        <v>42338</v>
      </c>
      <c r="D225" s="22">
        <v>30</v>
      </c>
      <c r="E225" s="23">
        <v>0.77800000000000002</v>
      </c>
      <c r="F225" s="24">
        <v>14.337999999999999</v>
      </c>
      <c r="G225" s="24">
        <v>14.294</v>
      </c>
      <c r="H225" s="24">
        <v>4206.0829999999996</v>
      </c>
      <c r="I225" s="24">
        <v>4611.72</v>
      </c>
      <c r="J225" s="24">
        <v>2.75</v>
      </c>
      <c r="K225" s="24">
        <v>402.887</v>
      </c>
      <c r="L225" s="24">
        <v>0</v>
      </c>
      <c r="M225" s="24">
        <v>0.73399999999999999</v>
      </c>
      <c r="N225" s="20">
        <v>133.21799999999999</v>
      </c>
    </row>
    <row r="226" spans="1:14" s="20" customFormat="1">
      <c r="A226" s="20">
        <v>19500</v>
      </c>
      <c r="B226" s="20" t="s">
        <v>845</v>
      </c>
      <c r="C226" s="21">
        <v>42338</v>
      </c>
      <c r="D226" s="22">
        <v>30</v>
      </c>
      <c r="E226" s="23">
        <v>0.52900000000000003</v>
      </c>
      <c r="F226" s="24">
        <v>10.384</v>
      </c>
      <c r="G226" s="24">
        <v>10.385999999999999</v>
      </c>
      <c r="H226" s="24">
        <v>3056.3429999999998</v>
      </c>
      <c r="I226" s="24">
        <v>3409.07</v>
      </c>
      <c r="J226" s="24">
        <v>2</v>
      </c>
      <c r="K226" s="24">
        <v>350.72699999999998</v>
      </c>
      <c r="L226" s="24">
        <v>0</v>
      </c>
      <c r="M226" s="24">
        <v>0.53100000000000003</v>
      </c>
      <c r="N226" s="20">
        <v>96.802000000000007</v>
      </c>
    </row>
    <row r="227" spans="1:14" s="20" customFormat="1">
      <c r="A227" s="20">
        <v>18022</v>
      </c>
      <c r="B227" s="20" t="s">
        <v>825</v>
      </c>
      <c r="C227" s="21">
        <v>42338</v>
      </c>
      <c r="D227" s="22">
        <v>30</v>
      </c>
      <c r="E227" s="23">
        <v>0.53800000000000003</v>
      </c>
      <c r="F227" s="24">
        <v>10.974</v>
      </c>
      <c r="G227" s="24">
        <v>10.997</v>
      </c>
      <c r="H227" s="24">
        <v>3236.0880000000002</v>
      </c>
      <c r="I227" s="24">
        <v>3617.15</v>
      </c>
      <c r="J227" s="24">
        <v>2.12</v>
      </c>
      <c r="K227" s="24">
        <v>378.94200000000001</v>
      </c>
      <c r="L227" s="24">
        <v>0</v>
      </c>
      <c r="M227" s="24">
        <v>0.56100000000000005</v>
      </c>
      <c r="N227" s="20">
        <v>102.496</v>
      </c>
    </row>
    <row r="228" spans="1:14" s="20" customFormat="1">
      <c r="A228" s="20">
        <v>18011</v>
      </c>
      <c r="B228" s="20" t="s">
        <v>822</v>
      </c>
      <c r="C228" s="21">
        <v>42338</v>
      </c>
      <c r="D228" s="22">
        <v>30</v>
      </c>
      <c r="E228" s="23">
        <v>0.35</v>
      </c>
      <c r="F228" s="24">
        <v>7.1970000000000001</v>
      </c>
      <c r="G228" s="24">
        <v>7.2149999999999999</v>
      </c>
      <c r="H228" s="24">
        <v>2123.1779999999999</v>
      </c>
      <c r="I228" s="24">
        <v>2453.02</v>
      </c>
      <c r="J228" s="24">
        <v>1.39</v>
      </c>
      <c r="K228" s="24">
        <v>328.452</v>
      </c>
      <c r="L228" s="24">
        <v>0</v>
      </c>
      <c r="M228" s="24">
        <v>0.36799999999999999</v>
      </c>
      <c r="N228" s="20">
        <v>67.247</v>
      </c>
    </row>
    <row r="229" spans="1:14" s="20" customFormat="1">
      <c r="A229" s="20">
        <v>18010</v>
      </c>
      <c r="B229" s="20" t="s">
        <v>867</v>
      </c>
      <c r="C229" s="21">
        <v>42338</v>
      </c>
      <c r="D229" s="22">
        <v>30</v>
      </c>
      <c r="E229" s="23">
        <v>0.71599999999999997</v>
      </c>
      <c r="F229" s="24">
        <v>14.15</v>
      </c>
      <c r="G229" s="24">
        <v>14.157</v>
      </c>
      <c r="H229" s="24">
        <v>4165.8100000000004</v>
      </c>
      <c r="I229" s="24">
        <v>4569.6000000000004</v>
      </c>
      <c r="J229" s="24">
        <v>2.73</v>
      </c>
      <c r="K229" s="24">
        <v>401.06</v>
      </c>
      <c r="L229" s="24">
        <v>0</v>
      </c>
      <c r="M229" s="24">
        <v>0.72299999999999998</v>
      </c>
      <c r="N229" s="20">
        <v>131.94200000000001</v>
      </c>
    </row>
    <row r="230" spans="1:14" s="20" customFormat="1">
      <c r="A230" s="20">
        <v>18023</v>
      </c>
      <c r="B230" s="20" t="s">
        <v>802</v>
      </c>
      <c r="C230" s="21">
        <v>42338</v>
      </c>
      <c r="D230" s="22">
        <v>30</v>
      </c>
      <c r="E230" s="23">
        <v>0.72499999999999998</v>
      </c>
      <c r="F230" s="24">
        <v>14.411</v>
      </c>
      <c r="G230" s="24">
        <v>14.423</v>
      </c>
      <c r="H230" s="24">
        <v>4243.8689999999997</v>
      </c>
      <c r="I230" s="24">
        <v>4654.72</v>
      </c>
      <c r="J230" s="24">
        <v>2.78</v>
      </c>
      <c r="K230" s="24">
        <v>408.07100000000003</v>
      </c>
      <c r="L230" s="24">
        <v>0</v>
      </c>
      <c r="M230" s="24">
        <v>0.73699999999999999</v>
      </c>
      <c r="N230" s="20">
        <v>134.41399999999999</v>
      </c>
    </row>
    <row r="231" spans="1:14" s="20" customFormat="1">
      <c r="A231" s="20">
        <v>10686</v>
      </c>
      <c r="B231" s="20" t="s">
        <v>123</v>
      </c>
      <c r="C231" s="21">
        <v>42338</v>
      </c>
      <c r="D231" s="22">
        <v>30</v>
      </c>
      <c r="E231" s="23">
        <v>1.0169999999999999</v>
      </c>
      <c r="F231" s="24">
        <v>21.091999999999999</v>
      </c>
      <c r="G231" s="24">
        <v>21.152999999999999</v>
      </c>
      <c r="H231" s="24">
        <v>6224.3209999999999</v>
      </c>
      <c r="I231" s="24">
        <v>6793.42</v>
      </c>
      <c r="J231" s="24">
        <v>4.07</v>
      </c>
      <c r="K231" s="24">
        <v>565.029</v>
      </c>
      <c r="L231" s="24">
        <v>0</v>
      </c>
      <c r="M231" s="24">
        <v>1.0780000000000001</v>
      </c>
      <c r="N231" s="20">
        <v>197.14</v>
      </c>
    </row>
    <row r="232" spans="1:14" s="20" customFormat="1">
      <c r="A232" s="20">
        <v>13997</v>
      </c>
      <c r="B232" s="20" t="s">
        <v>276</v>
      </c>
      <c r="C232" s="21">
        <v>42338</v>
      </c>
      <c r="D232" s="22">
        <v>30</v>
      </c>
      <c r="E232" s="23">
        <v>0.33700000000000002</v>
      </c>
      <c r="F232" s="24">
        <v>12.318</v>
      </c>
      <c r="G232" s="24">
        <v>12.509</v>
      </c>
      <c r="H232" s="24">
        <v>1557.252</v>
      </c>
      <c r="I232" s="24">
        <v>1771.61</v>
      </c>
      <c r="J232" s="24">
        <v>2.48</v>
      </c>
      <c r="K232" s="24">
        <v>211.87799999999999</v>
      </c>
      <c r="L232" s="24">
        <v>0</v>
      </c>
      <c r="M232" s="24">
        <v>0.52800000000000002</v>
      </c>
      <c r="N232" s="20">
        <v>34.585000000000001</v>
      </c>
    </row>
    <row r="233" spans="1:14" s="20" customFormat="1">
      <c r="A233" s="20">
        <v>18028</v>
      </c>
      <c r="B233" s="20" t="s">
        <v>810</v>
      </c>
      <c r="C233" s="21">
        <v>42338</v>
      </c>
      <c r="D233" s="22">
        <v>30</v>
      </c>
      <c r="E233" s="23">
        <v>0.84</v>
      </c>
      <c r="F233" s="24">
        <v>16.533999999999999</v>
      </c>
      <c r="G233" s="24">
        <v>16.54</v>
      </c>
      <c r="H233" s="24">
        <v>4867.0950000000003</v>
      </c>
      <c r="I233" s="24">
        <v>5306.63</v>
      </c>
      <c r="J233" s="24">
        <v>3.19</v>
      </c>
      <c r="K233" s="24">
        <v>436.34500000000003</v>
      </c>
      <c r="L233" s="24">
        <v>0</v>
      </c>
      <c r="M233" s="24">
        <v>0.84599999999999997</v>
      </c>
      <c r="N233" s="20">
        <v>154.15299999999999</v>
      </c>
    </row>
    <row r="234" spans="1:14" s="20" customFormat="1">
      <c r="A234" s="20">
        <v>18024</v>
      </c>
      <c r="B234" s="20" t="s">
        <v>806</v>
      </c>
      <c r="C234" s="21">
        <v>42338</v>
      </c>
      <c r="D234" s="22">
        <v>30</v>
      </c>
      <c r="E234" s="23">
        <v>0.93899999999999995</v>
      </c>
      <c r="F234" s="24">
        <v>18.544</v>
      </c>
      <c r="G234" s="24">
        <v>18.553000000000001</v>
      </c>
      <c r="H234" s="24">
        <v>5459.4229999999998</v>
      </c>
      <c r="I234" s="24">
        <v>5922.74</v>
      </c>
      <c r="J234" s="24">
        <v>3.57</v>
      </c>
      <c r="K234" s="24">
        <v>459.74700000000001</v>
      </c>
      <c r="L234" s="24">
        <v>0</v>
      </c>
      <c r="M234" s="24">
        <v>0.94799999999999995</v>
      </c>
      <c r="N234" s="20">
        <v>172.91300000000001</v>
      </c>
    </row>
    <row r="235" spans="1:14" s="20" customFormat="1">
      <c r="A235" s="20">
        <v>13985</v>
      </c>
      <c r="B235" s="20" t="s">
        <v>277</v>
      </c>
      <c r="C235" s="21">
        <v>42338</v>
      </c>
      <c r="D235" s="22">
        <v>30</v>
      </c>
      <c r="E235" s="23">
        <v>0.68700000000000006</v>
      </c>
      <c r="F235" s="24">
        <v>26.975000000000001</v>
      </c>
      <c r="G235" s="24">
        <v>27.443000000000001</v>
      </c>
      <c r="H235" s="24">
        <v>3416.4079999999999</v>
      </c>
      <c r="I235" s="24">
        <v>3718.08</v>
      </c>
      <c r="J235" s="24">
        <v>5.45</v>
      </c>
      <c r="K235" s="24">
        <v>296.22199999999998</v>
      </c>
      <c r="L235" s="24">
        <v>0</v>
      </c>
      <c r="M235" s="24">
        <v>1.155</v>
      </c>
      <c r="N235" s="20">
        <v>75.873999999999995</v>
      </c>
    </row>
    <row r="236" spans="1:14" s="20" customFormat="1">
      <c r="A236" s="20">
        <v>18055</v>
      </c>
      <c r="B236" s="20" t="s">
        <v>856</v>
      </c>
      <c r="C236" s="21">
        <v>42338</v>
      </c>
      <c r="D236" s="22">
        <v>30</v>
      </c>
      <c r="E236" s="23">
        <v>0.83199999999999996</v>
      </c>
      <c r="F236" s="24">
        <v>16.625</v>
      </c>
      <c r="G236" s="24">
        <v>16.641999999999999</v>
      </c>
      <c r="H236" s="24">
        <v>4897.1319999999996</v>
      </c>
      <c r="I236" s="24">
        <v>5334.58</v>
      </c>
      <c r="J236" s="24">
        <v>3.21</v>
      </c>
      <c r="K236" s="24">
        <v>434.238</v>
      </c>
      <c r="L236" s="24">
        <v>0</v>
      </c>
      <c r="M236" s="24">
        <v>0.84899999999999998</v>
      </c>
      <c r="N236" s="20">
        <v>155.10400000000001</v>
      </c>
    </row>
    <row r="237" spans="1:14" s="20" customFormat="1">
      <c r="A237" s="20">
        <v>18025</v>
      </c>
      <c r="B237" s="20" t="s">
        <v>821</v>
      </c>
      <c r="C237" s="21">
        <v>42338</v>
      </c>
      <c r="D237" s="22">
        <v>30</v>
      </c>
      <c r="E237" s="23">
        <v>0.86199999999999999</v>
      </c>
      <c r="F237" s="24">
        <v>16.93</v>
      </c>
      <c r="G237" s="24">
        <v>16.934999999999999</v>
      </c>
      <c r="H237" s="24">
        <v>4983.13</v>
      </c>
      <c r="I237" s="24">
        <v>5424.53</v>
      </c>
      <c r="J237" s="24">
        <v>3.26</v>
      </c>
      <c r="K237" s="24">
        <v>438.14</v>
      </c>
      <c r="L237" s="24">
        <v>0</v>
      </c>
      <c r="M237" s="24">
        <v>0.86699999999999999</v>
      </c>
      <c r="N237" s="20">
        <v>157.82900000000001</v>
      </c>
    </row>
    <row r="238" spans="1:14" s="20" customFormat="1">
      <c r="A238" s="20">
        <v>18026</v>
      </c>
      <c r="B238" s="20" t="s">
        <v>820</v>
      </c>
      <c r="C238" s="21">
        <v>42338</v>
      </c>
      <c r="D238" s="22">
        <v>30</v>
      </c>
      <c r="E238" s="23">
        <v>0.80900000000000005</v>
      </c>
      <c r="F238" s="24">
        <v>16.105</v>
      </c>
      <c r="G238" s="24">
        <v>16.12</v>
      </c>
      <c r="H238" s="24">
        <v>4743.4059999999999</v>
      </c>
      <c r="I238" s="24">
        <v>5173.7700000000004</v>
      </c>
      <c r="J238" s="24">
        <v>3.1</v>
      </c>
      <c r="K238" s="24">
        <v>427.26400000000001</v>
      </c>
      <c r="L238" s="24">
        <v>0</v>
      </c>
      <c r="M238" s="24">
        <v>0.82399999999999995</v>
      </c>
      <c r="N238" s="20">
        <v>150.23599999999999</v>
      </c>
    </row>
    <row r="239" spans="1:14" s="20" customFormat="1">
      <c r="A239" s="20">
        <v>19501</v>
      </c>
      <c r="B239" s="20" t="s">
        <v>860</v>
      </c>
      <c r="C239" s="21">
        <v>42338</v>
      </c>
      <c r="D239" s="22">
        <v>30</v>
      </c>
      <c r="E239" s="23">
        <v>0.45900000000000002</v>
      </c>
      <c r="F239" s="24">
        <v>8.7899999999999991</v>
      </c>
      <c r="G239" s="24">
        <v>8.7810000000000006</v>
      </c>
      <c r="H239" s="24">
        <v>2583.7820000000002</v>
      </c>
      <c r="I239" s="24">
        <v>2918.23</v>
      </c>
      <c r="J239" s="24">
        <v>1.69</v>
      </c>
      <c r="K239" s="24">
        <v>332.75799999999998</v>
      </c>
      <c r="L239" s="24">
        <v>0</v>
      </c>
      <c r="M239" s="24">
        <v>0.45</v>
      </c>
      <c r="N239" s="20">
        <v>81.834999999999994</v>
      </c>
    </row>
    <row r="240" spans="1:14" s="20" customFormat="1">
      <c r="A240" s="20">
        <v>13988</v>
      </c>
      <c r="B240" s="20" t="s">
        <v>255</v>
      </c>
      <c r="C240" s="21">
        <v>42338</v>
      </c>
      <c r="D240" s="22">
        <v>30</v>
      </c>
      <c r="E240" s="23">
        <v>0.55600000000000005</v>
      </c>
      <c r="F240" s="24">
        <v>21.824999999999999</v>
      </c>
      <c r="G240" s="24">
        <v>22.202000000000002</v>
      </c>
      <c r="H240" s="24">
        <v>2764.0050000000001</v>
      </c>
      <c r="I240" s="24">
        <v>3035.04</v>
      </c>
      <c r="J240" s="24">
        <v>4.41</v>
      </c>
      <c r="K240" s="24">
        <v>266.625</v>
      </c>
      <c r="L240" s="24">
        <v>0</v>
      </c>
      <c r="M240" s="24">
        <v>0.93300000000000005</v>
      </c>
      <c r="N240" s="20">
        <v>61.384999999999998</v>
      </c>
    </row>
    <row r="241" spans="1:14" s="20" customFormat="1">
      <c r="A241" s="20">
        <v>18027</v>
      </c>
      <c r="B241" s="20" t="s">
        <v>819</v>
      </c>
      <c r="C241" s="21">
        <v>42338</v>
      </c>
      <c r="D241" s="22">
        <v>30</v>
      </c>
      <c r="E241" s="23">
        <v>0.54100000000000004</v>
      </c>
      <c r="F241" s="24">
        <v>10.875999999999999</v>
      </c>
      <c r="G241" s="24">
        <v>10.891999999999999</v>
      </c>
      <c r="H241" s="24">
        <v>3204.808</v>
      </c>
      <c r="I241" s="24">
        <v>3564.37</v>
      </c>
      <c r="J241" s="24">
        <v>2.1</v>
      </c>
      <c r="K241" s="24">
        <v>357.46199999999999</v>
      </c>
      <c r="L241" s="24">
        <v>0</v>
      </c>
      <c r="M241" s="24">
        <v>0.55700000000000005</v>
      </c>
      <c r="N241" s="20">
        <v>101.504</v>
      </c>
    </row>
    <row r="242" spans="1:14" s="20" customFormat="1">
      <c r="A242" s="20">
        <v>19499</v>
      </c>
      <c r="B242" s="20" t="s">
        <v>857</v>
      </c>
      <c r="C242" s="21">
        <v>42338</v>
      </c>
      <c r="D242" s="22">
        <v>30</v>
      </c>
      <c r="E242" s="23">
        <v>0.496</v>
      </c>
      <c r="F242" s="24">
        <v>8.9290000000000003</v>
      </c>
      <c r="G242" s="24">
        <v>8.89</v>
      </c>
      <c r="H242" s="24">
        <v>2615.828</v>
      </c>
      <c r="I242" s="24">
        <v>2948.28</v>
      </c>
      <c r="J242" s="24">
        <v>1.71</v>
      </c>
      <c r="K242" s="24">
        <v>330.74200000000002</v>
      </c>
      <c r="L242" s="24">
        <v>0</v>
      </c>
      <c r="M242" s="24">
        <v>0.45700000000000002</v>
      </c>
      <c r="N242" s="20">
        <v>82.849000000000004</v>
      </c>
    </row>
    <row r="243" spans="1:14" s="20" customFormat="1">
      <c r="A243" s="20">
        <v>12234</v>
      </c>
      <c r="B243" s="20" t="s">
        <v>125</v>
      </c>
      <c r="C243" s="21">
        <v>42338</v>
      </c>
      <c r="D243" s="22">
        <v>30</v>
      </c>
      <c r="E243" s="23">
        <v>0.85399999999999998</v>
      </c>
      <c r="F243" s="24">
        <v>19.687999999999999</v>
      </c>
      <c r="G243" s="24">
        <v>19.704999999999998</v>
      </c>
      <c r="H243" s="24">
        <v>3233.8879999999999</v>
      </c>
      <c r="I243" s="24">
        <v>3596.56</v>
      </c>
      <c r="J243" s="24">
        <v>3.89</v>
      </c>
      <c r="K243" s="24">
        <v>358.78199999999998</v>
      </c>
      <c r="L243" s="24">
        <v>0</v>
      </c>
      <c r="M243" s="24">
        <v>0.871</v>
      </c>
      <c r="N243" s="20">
        <v>70.010000000000005</v>
      </c>
    </row>
    <row r="244" spans="1:14" s="20" customFormat="1">
      <c r="A244" s="20">
        <v>13987</v>
      </c>
      <c r="B244" s="20" t="s">
        <v>804</v>
      </c>
      <c r="C244" s="21">
        <v>42338</v>
      </c>
      <c r="D244" s="22">
        <v>30</v>
      </c>
      <c r="E244" s="23">
        <v>0.18099999999999999</v>
      </c>
      <c r="F244" s="24">
        <v>6.4340000000000002</v>
      </c>
      <c r="G244" s="24">
        <v>6.5289999999999999</v>
      </c>
      <c r="H244" s="24">
        <v>812.92</v>
      </c>
      <c r="I244" s="24">
        <v>994.64</v>
      </c>
      <c r="J244" s="24">
        <v>1.3</v>
      </c>
      <c r="K244" s="24">
        <v>180.42</v>
      </c>
      <c r="L244" s="24">
        <v>0</v>
      </c>
      <c r="M244" s="24">
        <v>0.27600000000000002</v>
      </c>
      <c r="N244" s="20">
        <v>18.053999999999998</v>
      </c>
    </row>
    <row r="245" spans="1:14" s="20" customFormat="1">
      <c r="A245" s="20">
        <v>19503</v>
      </c>
      <c r="B245" s="20" t="s">
        <v>818</v>
      </c>
      <c r="C245" s="21">
        <v>42338</v>
      </c>
      <c r="D245" s="22">
        <v>30</v>
      </c>
      <c r="E245" s="23">
        <v>0.40899999999999997</v>
      </c>
      <c r="F245" s="24">
        <v>9.3079999999999998</v>
      </c>
      <c r="G245" s="24">
        <v>9.3729999999999993</v>
      </c>
      <c r="H245" s="24">
        <v>2758.3609999999999</v>
      </c>
      <c r="I245" s="24">
        <v>3097.38</v>
      </c>
      <c r="J245" s="24">
        <v>1.81</v>
      </c>
      <c r="K245" s="24">
        <v>337.209</v>
      </c>
      <c r="L245" s="24">
        <v>0</v>
      </c>
      <c r="M245" s="24">
        <v>0.47399999999999998</v>
      </c>
      <c r="N245" s="20">
        <v>87.364999999999995</v>
      </c>
    </row>
    <row r="246" spans="1:14" s="20" customFormat="1">
      <c r="A246" s="20">
        <v>19504</v>
      </c>
      <c r="B246" s="20" t="s">
        <v>817</v>
      </c>
      <c r="C246" s="21">
        <v>42338</v>
      </c>
      <c r="D246" s="22">
        <v>0</v>
      </c>
      <c r="E246" s="23">
        <v>0.45700000000000002</v>
      </c>
      <c r="F246" s="24">
        <v>0.42899999999999999</v>
      </c>
      <c r="G246" s="24">
        <v>0</v>
      </c>
      <c r="H246" s="24">
        <v>0</v>
      </c>
      <c r="I246" s="24">
        <v>0</v>
      </c>
      <c r="J246" s="24">
        <v>0</v>
      </c>
      <c r="K246" s="24">
        <v>0</v>
      </c>
      <c r="L246" s="24">
        <v>0</v>
      </c>
      <c r="M246" s="24">
        <v>2.8000000000000001E-2</v>
      </c>
      <c r="N246" s="20">
        <v>0</v>
      </c>
    </row>
    <row r="247" spans="1:14" s="20" customFormat="1">
      <c r="A247" s="20">
        <v>12223</v>
      </c>
      <c r="B247" s="20" t="s">
        <v>127</v>
      </c>
      <c r="C247" s="21">
        <v>42338</v>
      </c>
      <c r="D247" s="22">
        <v>30</v>
      </c>
      <c r="E247" s="23">
        <v>1.484</v>
      </c>
      <c r="F247" s="24">
        <v>34.204000000000001</v>
      </c>
      <c r="G247" s="24">
        <v>34.231999999999999</v>
      </c>
      <c r="H247" s="24">
        <v>5617.8360000000002</v>
      </c>
      <c r="I247" s="24">
        <v>6091.52</v>
      </c>
      <c r="J247" s="24">
        <v>6.75</v>
      </c>
      <c r="K247" s="24">
        <v>466.93400000000003</v>
      </c>
      <c r="L247" s="24">
        <v>0</v>
      </c>
      <c r="M247" s="24">
        <v>1.512</v>
      </c>
      <c r="N247" s="20">
        <v>121.62</v>
      </c>
    </row>
    <row r="248" spans="1:14" s="20" customFormat="1">
      <c r="A248" s="20">
        <v>12224</v>
      </c>
      <c r="B248" s="20" t="s">
        <v>128</v>
      </c>
      <c r="C248" s="21">
        <v>42338</v>
      </c>
      <c r="D248" s="22">
        <v>30</v>
      </c>
      <c r="E248" s="23">
        <v>0.59899999999999998</v>
      </c>
      <c r="F248" s="24">
        <v>13.454000000000001</v>
      </c>
      <c r="G248" s="24">
        <v>13.446999999999999</v>
      </c>
      <c r="H248" s="24">
        <v>2206.88</v>
      </c>
      <c r="I248" s="24">
        <v>2521.7199999999998</v>
      </c>
      <c r="J248" s="24">
        <v>2.65</v>
      </c>
      <c r="K248" s="24">
        <v>312.19</v>
      </c>
      <c r="L248" s="24">
        <v>0</v>
      </c>
      <c r="M248" s="24">
        <v>0.59199999999999997</v>
      </c>
      <c r="N248" s="20">
        <v>47.777000000000001</v>
      </c>
    </row>
    <row r="249" spans="1:14" s="20" customFormat="1">
      <c r="A249" s="20">
        <v>12222</v>
      </c>
      <c r="B249" s="20" t="s">
        <v>129</v>
      </c>
      <c r="C249" s="21">
        <v>42338</v>
      </c>
      <c r="D249" s="22">
        <v>30</v>
      </c>
      <c r="E249" s="23">
        <v>0.65700000000000003</v>
      </c>
      <c r="F249" s="24">
        <v>14.964</v>
      </c>
      <c r="G249" s="24">
        <v>14.967000000000001</v>
      </c>
      <c r="H249" s="24">
        <v>2456.2669999999998</v>
      </c>
      <c r="I249" s="24">
        <v>2785.03</v>
      </c>
      <c r="J249" s="24">
        <v>2.95</v>
      </c>
      <c r="K249" s="24">
        <v>325.81299999999999</v>
      </c>
      <c r="L249" s="24">
        <v>0</v>
      </c>
      <c r="M249" s="24">
        <v>0.66</v>
      </c>
      <c r="N249" s="20">
        <v>53.174999999999997</v>
      </c>
    </row>
    <row r="250" spans="1:14" s="20" customFormat="1">
      <c r="A250" s="20">
        <v>10687</v>
      </c>
      <c r="B250" s="20" t="s">
        <v>130</v>
      </c>
      <c r="C250" s="21">
        <v>42338</v>
      </c>
      <c r="D250" s="22">
        <v>30</v>
      </c>
      <c r="E250" s="23">
        <v>0.38800000000000001</v>
      </c>
      <c r="F250" s="24">
        <v>1.052</v>
      </c>
      <c r="G250" s="24">
        <v>1.01</v>
      </c>
      <c r="H250" s="24">
        <v>5806.1909999999998</v>
      </c>
      <c r="I250" s="24">
        <v>6493.91</v>
      </c>
      <c r="J250" s="24">
        <v>0</v>
      </c>
      <c r="K250" s="24">
        <v>687.71900000000005</v>
      </c>
      <c r="L250" s="24">
        <v>0</v>
      </c>
      <c r="M250" s="24">
        <v>0.34599999999999997</v>
      </c>
      <c r="N250" s="20">
        <v>1.718</v>
      </c>
    </row>
    <row r="251" spans="1:14" s="20" customFormat="1">
      <c r="A251" s="20">
        <v>17696</v>
      </c>
      <c r="B251" s="20" t="s">
        <v>775</v>
      </c>
      <c r="C251" s="21">
        <v>42338</v>
      </c>
      <c r="D251" s="22">
        <v>30</v>
      </c>
      <c r="E251" s="23">
        <v>0.47899999999999998</v>
      </c>
      <c r="F251" s="24">
        <v>9.8330000000000002</v>
      </c>
      <c r="G251" s="24">
        <v>9.8829999999999991</v>
      </c>
      <c r="H251" s="24">
        <v>3303.0509999999999</v>
      </c>
      <c r="I251" s="24">
        <v>3666.86</v>
      </c>
      <c r="J251" s="24">
        <v>1.89</v>
      </c>
      <c r="K251" s="24">
        <v>361.91899999999998</v>
      </c>
      <c r="L251" s="24">
        <v>0</v>
      </c>
      <c r="M251" s="24">
        <v>0.52900000000000003</v>
      </c>
      <c r="N251" s="20">
        <v>65.269000000000005</v>
      </c>
    </row>
    <row r="252" spans="1:14" s="20" customFormat="1">
      <c r="A252" s="20">
        <v>16228</v>
      </c>
      <c r="B252" s="20" t="s">
        <v>309</v>
      </c>
      <c r="C252" s="21">
        <v>42338</v>
      </c>
      <c r="D252" s="22">
        <v>30</v>
      </c>
      <c r="E252" s="23">
        <v>0.44700000000000001</v>
      </c>
      <c r="F252" s="24">
        <v>17.077999999999999</v>
      </c>
      <c r="G252" s="24">
        <v>17.456</v>
      </c>
      <c r="H252" s="24">
        <v>3867.1590000000001</v>
      </c>
      <c r="I252" s="24">
        <v>4258.08</v>
      </c>
      <c r="J252" s="24">
        <v>3.41</v>
      </c>
      <c r="K252" s="24">
        <v>387.51100000000002</v>
      </c>
      <c r="L252" s="24">
        <v>0</v>
      </c>
      <c r="M252" s="24">
        <v>0.82499999999999996</v>
      </c>
      <c r="N252" s="20">
        <v>104</v>
      </c>
    </row>
    <row r="253" spans="1:14" s="20" customFormat="1">
      <c r="A253" s="20">
        <v>17572</v>
      </c>
      <c r="B253" s="20" t="s">
        <v>811</v>
      </c>
      <c r="C253" s="21">
        <v>42338</v>
      </c>
      <c r="D253" s="22">
        <v>30</v>
      </c>
      <c r="E253" s="23">
        <v>0.66300000000000003</v>
      </c>
      <c r="F253" s="24">
        <v>13.66</v>
      </c>
      <c r="G253" s="24">
        <v>13.731</v>
      </c>
      <c r="H253" s="24">
        <v>4589.393</v>
      </c>
      <c r="I253" s="24">
        <v>5012.3</v>
      </c>
      <c r="J253" s="24">
        <v>2.63</v>
      </c>
      <c r="K253" s="24">
        <v>420.27699999999999</v>
      </c>
      <c r="L253" s="24">
        <v>0</v>
      </c>
      <c r="M253" s="24">
        <v>0.73399999999999999</v>
      </c>
      <c r="N253" s="20">
        <v>90.686000000000007</v>
      </c>
    </row>
    <row r="254" spans="1:14" s="20" customFormat="1">
      <c r="A254" s="20">
        <v>16018</v>
      </c>
      <c r="B254" s="20" t="s">
        <v>1033</v>
      </c>
      <c r="C254" s="21">
        <v>42338</v>
      </c>
      <c r="D254" s="22">
        <v>30</v>
      </c>
      <c r="E254" s="23">
        <v>1.7999999999999999E-2</v>
      </c>
      <c r="F254" s="24">
        <v>0.69599999999999995</v>
      </c>
      <c r="G254" s="24">
        <v>0.71199999999999997</v>
      </c>
      <c r="H254" s="24">
        <v>157.74299999999999</v>
      </c>
      <c r="I254" s="24">
        <v>377.11</v>
      </c>
      <c r="J254" s="24">
        <v>0.14000000000000001</v>
      </c>
      <c r="K254" s="24">
        <v>219.227</v>
      </c>
      <c r="L254" s="24">
        <v>0</v>
      </c>
      <c r="M254" s="24">
        <v>3.4000000000000002E-2</v>
      </c>
      <c r="N254" s="20">
        <v>4.242</v>
      </c>
    </row>
    <row r="255" spans="1:14" s="20" customFormat="1">
      <c r="A255" s="20">
        <v>16017</v>
      </c>
      <c r="B255" s="20" t="s">
        <v>311</v>
      </c>
      <c r="C255" s="21">
        <v>42338</v>
      </c>
      <c r="D255" s="22">
        <v>29</v>
      </c>
      <c r="E255" s="23">
        <v>0.13600000000000001</v>
      </c>
      <c r="F255" s="24">
        <v>4.96</v>
      </c>
      <c r="G255" s="24">
        <v>5.0640000000000001</v>
      </c>
      <c r="H255" s="24">
        <v>1121.903</v>
      </c>
      <c r="I255" s="24">
        <v>1385.86</v>
      </c>
      <c r="J255" s="24">
        <v>0.99</v>
      </c>
      <c r="K255" s="24">
        <v>262.96699999999998</v>
      </c>
      <c r="L255" s="24">
        <v>0</v>
      </c>
      <c r="M255" s="24">
        <v>0.24</v>
      </c>
      <c r="N255" s="20">
        <v>30.170999999999999</v>
      </c>
    </row>
    <row r="256" spans="1:14" s="20" customFormat="1">
      <c r="A256" s="20">
        <v>13986</v>
      </c>
      <c r="B256" s="20" t="s">
        <v>278</v>
      </c>
      <c r="C256" s="21">
        <v>42338</v>
      </c>
      <c r="D256" s="22">
        <v>30</v>
      </c>
      <c r="E256" s="23">
        <v>0.91500000000000004</v>
      </c>
      <c r="F256" s="24">
        <v>36.701000000000001</v>
      </c>
      <c r="G256" s="24">
        <v>37.356000000000002</v>
      </c>
      <c r="H256" s="24">
        <v>4650.5200000000004</v>
      </c>
      <c r="I256" s="24">
        <v>5013.62</v>
      </c>
      <c r="J256" s="24">
        <v>7.42</v>
      </c>
      <c r="K256" s="24">
        <v>355.68</v>
      </c>
      <c r="L256" s="24">
        <v>0</v>
      </c>
      <c r="M256" s="24">
        <v>1.57</v>
      </c>
      <c r="N256" s="20">
        <v>103.282</v>
      </c>
    </row>
    <row r="257" spans="1:14" s="20" customFormat="1">
      <c r="A257" s="20">
        <v>13991</v>
      </c>
      <c r="B257" s="20" t="s">
        <v>805</v>
      </c>
      <c r="C257" s="21">
        <v>42338</v>
      </c>
      <c r="D257" s="22">
        <v>30</v>
      </c>
      <c r="E257" s="23">
        <v>1.0569999999999999</v>
      </c>
      <c r="F257" s="24">
        <v>42.643000000000001</v>
      </c>
      <c r="G257" s="24">
        <v>43.41</v>
      </c>
      <c r="H257" s="24">
        <v>5404.5140000000001</v>
      </c>
      <c r="I257" s="24">
        <v>5827.89</v>
      </c>
      <c r="J257" s="24">
        <v>8.6199999999999992</v>
      </c>
      <c r="K257" s="24">
        <v>414.75599999999997</v>
      </c>
      <c r="L257" s="24">
        <v>0</v>
      </c>
      <c r="M257" s="24">
        <v>1.8240000000000001</v>
      </c>
      <c r="N257" s="20">
        <v>120.026</v>
      </c>
    </row>
    <row r="258" spans="1:14" s="20" customFormat="1">
      <c r="A258" s="20">
        <v>16964</v>
      </c>
      <c r="B258" s="20" t="s">
        <v>777</v>
      </c>
      <c r="C258" s="21">
        <v>42338</v>
      </c>
      <c r="D258" s="22">
        <v>8</v>
      </c>
      <c r="E258" s="23">
        <v>0.222</v>
      </c>
      <c r="F258" s="24">
        <v>3.867</v>
      </c>
      <c r="G258" s="24">
        <v>3.8540000000000001</v>
      </c>
      <c r="H258" s="24">
        <v>1288.0640000000001</v>
      </c>
      <c r="I258" s="24">
        <v>1559.31</v>
      </c>
      <c r="J258" s="24">
        <v>0.74</v>
      </c>
      <c r="K258" s="24">
        <v>270.50599999999997</v>
      </c>
      <c r="L258" s="24">
        <v>0</v>
      </c>
      <c r="M258" s="24">
        <v>0.20899999999999999</v>
      </c>
      <c r="N258" s="20">
        <v>25.452000000000002</v>
      </c>
    </row>
    <row r="259" spans="1:14" s="20" customFormat="1">
      <c r="A259" s="20">
        <v>17693</v>
      </c>
      <c r="B259" s="20" t="s">
        <v>778</v>
      </c>
      <c r="C259" s="21">
        <v>42338</v>
      </c>
      <c r="D259" s="22">
        <v>30</v>
      </c>
      <c r="E259" s="23">
        <v>0.58599999999999997</v>
      </c>
      <c r="F259" s="24">
        <v>12.182</v>
      </c>
      <c r="G259" s="24">
        <v>12.25</v>
      </c>
      <c r="H259" s="24">
        <v>4093.9690000000001</v>
      </c>
      <c r="I259" s="24">
        <v>4498.1499999999996</v>
      </c>
      <c r="J259" s="24">
        <v>2.34</v>
      </c>
      <c r="K259" s="24">
        <v>401.84100000000001</v>
      </c>
      <c r="L259" s="24">
        <v>0</v>
      </c>
      <c r="M259" s="24">
        <v>0.65400000000000003</v>
      </c>
      <c r="N259" s="20">
        <v>80.897000000000006</v>
      </c>
    </row>
    <row r="260" spans="1:14" s="20" customFormat="1">
      <c r="A260" s="20">
        <v>16230</v>
      </c>
      <c r="B260" s="20" t="s">
        <v>308</v>
      </c>
      <c r="C260" s="21">
        <v>42338</v>
      </c>
      <c r="D260" s="22">
        <v>30</v>
      </c>
      <c r="E260" s="23">
        <v>3.0000000000000001E-3</v>
      </c>
      <c r="F260" s="24">
        <v>0.14399999999999999</v>
      </c>
      <c r="G260" s="24">
        <v>0.14799999999999999</v>
      </c>
      <c r="H260" s="24">
        <v>32.716000000000001</v>
      </c>
      <c r="I260" s="24">
        <v>246.3</v>
      </c>
      <c r="J260" s="24">
        <v>0.03</v>
      </c>
      <c r="K260" s="24">
        <v>213.554</v>
      </c>
      <c r="L260" s="24">
        <v>0</v>
      </c>
      <c r="M260" s="24">
        <v>7.0000000000000001E-3</v>
      </c>
      <c r="N260" s="20">
        <v>0.879</v>
      </c>
    </row>
    <row r="261" spans="1:14" s="20" customFormat="1">
      <c r="A261" s="20">
        <v>20567</v>
      </c>
      <c r="B261" s="20" t="s">
        <v>902</v>
      </c>
      <c r="C261" s="21">
        <v>42338</v>
      </c>
      <c r="D261" s="22">
        <v>30</v>
      </c>
      <c r="E261" s="23">
        <v>2.3E-2</v>
      </c>
      <c r="F261" s="24">
        <v>9.9000000000000005E-2</v>
      </c>
      <c r="G261" s="24">
        <v>0.09</v>
      </c>
      <c r="H261" s="24">
        <v>204.04300000000001</v>
      </c>
      <c r="I261" s="24">
        <v>637.04</v>
      </c>
      <c r="J261" s="24">
        <v>0.01</v>
      </c>
      <c r="K261" s="24">
        <v>432.98700000000002</v>
      </c>
      <c r="L261" s="24">
        <v>0</v>
      </c>
      <c r="M261" s="24">
        <v>1.4E-2</v>
      </c>
      <c r="N261" s="20">
        <v>7.7560000000000002</v>
      </c>
    </row>
    <row r="262" spans="1:14" s="20" customFormat="1">
      <c r="A262" s="20">
        <v>20584</v>
      </c>
      <c r="B262" s="20" t="s">
        <v>892</v>
      </c>
      <c r="C262" s="21">
        <v>42338</v>
      </c>
      <c r="D262" s="22">
        <v>30</v>
      </c>
      <c r="E262" s="23">
        <v>0.72</v>
      </c>
      <c r="F262" s="24">
        <v>3.081</v>
      </c>
      <c r="G262" s="24">
        <v>2.8010000000000002</v>
      </c>
      <c r="H262" s="24">
        <v>6360.4459999999999</v>
      </c>
      <c r="I262" s="24">
        <v>6847.24</v>
      </c>
      <c r="J262" s="24">
        <v>0.34</v>
      </c>
      <c r="K262" s="24">
        <v>486.45400000000001</v>
      </c>
      <c r="L262" s="24">
        <v>0</v>
      </c>
      <c r="M262" s="24">
        <v>0.44</v>
      </c>
      <c r="N262" s="20">
        <v>241.77799999999999</v>
      </c>
    </row>
    <row r="263" spans="1:14" s="20" customFormat="1">
      <c r="A263" s="20">
        <v>13990</v>
      </c>
      <c r="B263" s="20" t="s">
        <v>257</v>
      </c>
      <c r="C263" s="21">
        <v>42338</v>
      </c>
      <c r="D263" s="22">
        <v>0</v>
      </c>
      <c r="E263" s="23">
        <v>0.01</v>
      </c>
      <c r="F263" s="24">
        <v>0.01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0">
        <v>0</v>
      </c>
    </row>
    <row r="264" spans="1:14" s="20" customFormat="1">
      <c r="A264" s="20">
        <v>20579</v>
      </c>
      <c r="B264" s="20" t="s">
        <v>905</v>
      </c>
      <c r="C264" s="21">
        <v>42338</v>
      </c>
      <c r="D264" s="22">
        <v>30</v>
      </c>
      <c r="E264" s="23">
        <v>0.39700000000000002</v>
      </c>
      <c r="F264" s="24">
        <v>1.6140000000000001</v>
      </c>
      <c r="G264" s="24">
        <v>1.4450000000000001</v>
      </c>
      <c r="H264" s="24">
        <v>3283.2489999999998</v>
      </c>
      <c r="I264" s="24">
        <v>3630.28</v>
      </c>
      <c r="J264" s="24">
        <v>0.18</v>
      </c>
      <c r="K264" s="24">
        <v>346.851</v>
      </c>
      <c r="L264" s="24">
        <v>0</v>
      </c>
      <c r="M264" s="24">
        <v>0.22800000000000001</v>
      </c>
      <c r="N264" s="20">
        <v>124.804</v>
      </c>
    </row>
    <row r="265" spans="1:14" s="20" customFormat="1">
      <c r="A265" s="20">
        <v>20573</v>
      </c>
      <c r="B265" s="20" t="s">
        <v>891</v>
      </c>
      <c r="C265" s="21">
        <v>42338</v>
      </c>
      <c r="D265" s="22">
        <v>30</v>
      </c>
      <c r="E265" s="23">
        <v>0.378</v>
      </c>
      <c r="F265" s="24">
        <v>1.514</v>
      </c>
      <c r="G265" s="24">
        <v>1.351</v>
      </c>
      <c r="H265" s="24">
        <v>3066.4830000000002</v>
      </c>
      <c r="I265" s="24">
        <v>3403.67</v>
      </c>
      <c r="J265" s="24">
        <v>0.17</v>
      </c>
      <c r="K265" s="24">
        <v>337.017</v>
      </c>
      <c r="L265" s="24">
        <v>0</v>
      </c>
      <c r="M265" s="24">
        <v>0.215</v>
      </c>
      <c r="N265" s="20">
        <v>116.566</v>
      </c>
    </row>
    <row r="266" spans="1:14" s="20" customFormat="1">
      <c r="A266" s="20">
        <v>18059</v>
      </c>
      <c r="B266" s="20" t="s">
        <v>767</v>
      </c>
      <c r="C266" s="21">
        <v>42338</v>
      </c>
      <c r="D266" s="22">
        <v>30</v>
      </c>
      <c r="E266" s="23">
        <v>0.55300000000000005</v>
      </c>
      <c r="F266" s="24">
        <v>12.565</v>
      </c>
      <c r="G266" s="24">
        <v>12.688000000000001</v>
      </c>
      <c r="H266" s="24">
        <v>4206.848</v>
      </c>
      <c r="I266" s="24">
        <v>4612.2</v>
      </c>
      <c r="J266" s="24">
        <v>2.4300000000000002</v>
      </c>
      <c r="K266" s="24">
        <v>402.92200000000003</v>
      </c>
      <c r="L266" s="24">
        <v>0</v>
      </c>
      <c r="M266" s="24">
        <v>0.67600000000000005</v>
      </c>
      <c r="N266" s="20">
        <v>90.772999999999996</v>
      </c>
    </row>
    <row r="267" spans="1:14" s="20" customFormat="1">
      <c r="A267" s="20">
        <v>18062</v>
      </c>
      <c r="B267" s="20" t="s">
        <v>768</v>
      </c>
      <c r="C267" s="21">
        <v>42338</v>
      </c>
      <c r="D267" s="22">
        <v>30</v>
      </c>
      <c r="E267" s="23">
        <v>0.66500000000000004</v>
      </c>
      <c r="F267" s="24">
        <v>15.544</v>
      </c>
      <c r="G267" s="24">
        <v>15.715</v>
      </c>
      <c r="H267" s="24">
        <v>5210.1319999999996</v>
      </c>
      <c r="I267" s="24">
        <v>5665.05</v>
      </c>
      <c r="J267" s="24">
        <v>3.01</v>
      </c>
      <c r="K267" s="24">
        <v>451.90800000000002</v>
      </c>
      <c r="L267" s="24">
        <v>0</v>
      </c>
      <c r="M267" s="24">
        <v>0.83599999999999997</v>
      </c>
      <c r="N267" s="20">
        <v>112.42100000000001</v>
      </c>
    </row>
    <row r="268" spans="1:14" s="20" customFormat="1">
      <c r="A268" s="20">
        <v>12227</v>
      </c>
      <c r="B268" s="20" t="s">
        <v>252</v>
      </c>
      <c r="C268" s="21">
        <v>42338</v>
      </c>
      <c r="D268" s="22">
        <v>30</v>
      </c>
      <c r="E268" s="23">
        <v>0.85399999999999998</v>
      </c>
      <c r="F268" s="24">
        <v>3.6890000000000001</v>
      </c>
      <c r="G268" s="24">
        <v>3.3610000000000002</v>
      </c>
      <c r="H268" s="24">
        <v>7633.0129999999999</v>
      </c>
      <c r="I268" s="24">
        <v>8191.78</v>
      </c>
      <c r="J268" s="24">
        <v>0.41</v>
      </c>
      <c r="K268" s="24">
        <v>558.35699999999997</v>
      </c>
      <c r="L268" s="24">
        <v>0</v>
      </c>
      <c r="M268" s="24">
        <v>0.52600000000000002</v>
      </c>
      <c r="N268" s="20">
        <v>290.15100000000001</v>
      </c>
    </row>
    <row r="269" spans="1:14" s="20" customFormat="1">
      <c r="A269" s="20">
        <v>18058</v>
      </c>
      <c r="B269" s="20" t="s">
        <v>747</v>
      </c>
      <c r="C269" s="21">
        <v>42338</v>
      </c>
      <c r="D269" s="22">
        <v>30</v>
      </c>
      <c r="E269" s="23">
        <v>0.55800000000000005</v>
      </c>
      <c r="F269" s="24">
        <v>13.236000000000001</v>
      </c>
      <c r="G269" s="24">
        <v>13.388999999999999</v>
      </c>
      <c r="H269" s="24">
        <v>4439.2070000000003</v>
      </c>
      <c r="I269" s="24">
        <v>4855.2299999999996</v>
      </c>
      <c r="J269" s="24">
        <v>2.56</v>
      </c>
      <c r="K269" s="24">
        <v>413.46300000000002</v>
      </c>
      <c r="L269" s="24">
        <v>0</v>
      </c>
      <c r="M269" s="24">
        <v>0.71099999999999997</v>
      </c>
      <c r="N269" s="20">
        <v>95.787000000000006</v>
      </c>
    </row>
    <row r="270" spans="1:14" s="20" customFormat="1">
      <c r="A270" s="20">
        <v>16229</v>
      </c>
      <c r="B270" s="20" t="s">
        <v>306</v>
      </c>
      <c r="C270" s="21">
        <v>42338</v>
      </c>
      <c r="D270" s="22">
        <v>30</v>
      </c>
      <c r="E270" s="23">
        <v>7.0000000000000001E-3</v>
      </c>
      <c r="F270" s="24">
        <v>0.29399999999999998</v>
      </c>
      <c r="G270" s="24">
        <v>0.3</v>
      </c>
      <c r="H270" s="24">
        <v>66.578999999999994</v>
      </c>
      <c r="I270" s="24">
        <v>281.73</v>
      </c>
      <c r="J270" s="24">
        <v>0.06</v>
      </c>
      <c r="K270" s="24">
        <v>215.09100000000001</v>
      </c>
      <c r="L270" s="24">
        <v>0</v>
      </c>
      <c r="M270" s="24">
        <v>1.2999999999999999E-2</v>
      </c>
      <c r="N270" s="20">
        <v>1.7909999999999999</v>
      </c>
    </row>
    <row r="271" spans="1:14" s="20" customFormat="1">
      <c r="A271" s="20">
        <v>20568</v>
      </c>
      <c r="B271" s="20" t="s">
        <v>906</v>
      </c>
      <c r="C271" s="21">
        <v>42338</v>
      </c>
      <c r="D271" s="22">
        <v>30</v>
      </c>
      <c r="E271" s="23">
        <v>0.626</v>
      </c>
      <c r="F271" s="24">
        <v>2.7160000000000002</v>
      </c>
      <c r="G271" s="24">
        <v>2.4769999999999999</v>
      </c>
      <c r="H271" s="24">
        <v>5626.6369999999997</v>
      </c>
      <c r="I271" s="24">
        <v>6080.1</v>
      </c>
      <c r="J271" s="24">
        <v>0.3</v>
      </c>
      <c r="K271" s="24">
        <v>453.16300000000001</v>
      </c>
      <c r="L271" s="24">
        <v>0</v>
      </c>
      <c r="M271" s="24">
        <v>0.38700000000000001</v>
      </c>
      <c r="N271" s="20">
        <v>213.88300000000001</v>
      </c>
    </row>
    <row r="272" spans="1:14" s="20" customFormat="1">
      <c r="A272" s="20">
        <v>20566</v>
      </c>
      <c r="B272" s="20" t="s">
        <v>893</v>
      </c>
      <c r="C272" s="21">
        <v>42338</v>
      </c>
      <c r="D272" s="22">
        <v>30</v>
      </c>
      <c r="E272" s="23">
        <v>0.436</v>
      </c>
      <c r="F272" s="24">
        <v>1.72</v>
      </c>
      <c r="G272" s="24">
        <v>1.5269999999999999</v>
      </c>
      <c r="H272" s="24">
        <v>3469.6909999999998</v>
      </c>
      <c r="I272" s="24">
        <v>3825.19</v>
      </c>
      <c r="J272" s="24">
        <v>0.19</v>
      </c>
      <c r="K272" s="24">
        <v>355.30900000000003</v>
      </c>
      <c r="L272" s="24">
        <v>0</v>
      </c>
      <c r="M272" s="24">
        <v>0.24299999999999999</v>
      </c>
      <c r="N272" s="20">
        <v>131.892</v>
      </c>
    </row>
    <row r="273" spans="1:14" s="20" customFormat="1">
      <c r="A273" s="20">
        <v>20578</v>
      </c>
      <c r="B273" s="20" t="s">
        <v>901</v>
      </c>
      <c r="C273" s="21">
        <v>42338</v>
      </c>
      <c r="D273" s="22">
        <v>30</v>
      </c>
      <c r="E273" s="23">
        <v>0.55000000000000004</v>
      </c>
      <c r="F273" s="24">
        <v>2.331</v>
      </c>
      <c r="G273" s="24">
        <v>2.113</v>
      </c>
      <c r="H273" s="24">
        <v>4799.8459999999995</v>
      </c>
      <c r="I273" s="24">
        <v>5215.76</v>
      </c>
      <c r="J273" s="24">
        <v>0.26</v>
      </c>
      <c r="K273" s="24">
        <v>415.654</v>
      </c>
      <c r="L273" s="24">
        <v>0</v>
      </c>
      <c r="M273" s="24">
        <v>0.33200000000000002</v>
      </c>
      <c r="N273" s="20">
        <v>182.45500000000001</v>
      </c>
    </row>
    <row r="274" spans="1:14" s="20" customFormat="1">
      <c r="A274" s="20">
        <v>12219</v>
      </c>
      <c r="B274" s="20" t="s">
        <v>656</v>
      </c>
      <c r="C274" s="21">
        <v>42338</v>
      </c>
      <c r="D274" s="22">
        <v>30</v>
      </c>
      <c r="E274" s="23">
        <v>0.40300000000000002</v>
      </c>
      <c r="F274" s="24">
        <v>9.3659999999999997</v>
      </c>
      <c r="G274" s="24">
        <v>9.4670000000000005</v>
      </c>
      <c r="H274" s="24">
        <v>3138.8980000000001</v>
      </c>
      <c r="I274" s="24">
        <v>3495.18</v>
      </c>
      <c r="J274" s="24">
        <v>1.81</v>
      </c>
      <c r="K274" s="24">
        <v>354.47199999999998</v>
      </c>
      <c r="L274" s="24">
        <v>0</v>
      </c>
      <c r="M274" s="24">
        <v>0.504</v>
      </c>
      <c r="N274" s="20">
        <v>67.728999999999999</v>
      </c>
    </row>
    <row r="275" spans="1:14" s="20" customFormat="1">
      <c r="A275" s="20">
        <v>17604</v>
      </c>
      <c r="B275" s="20" t="s">
        <v>748</v>
      </c>
      <c r="C275" s="21">
        <v>42338</v>
      </c>
      <c r="D275" s="22">
        <v>30</v>
      </c>
      <c r="E275" s="23">
        <v>0.58399999999999996</v>
      </c>
      <c r="F275" s="24">
        <v>13.369</v>
      </c>
      <c r="G275" s="24">
        <v>13.505000000000001</v>
      </c>
      <c r="H275" s="24">
        <v>4477.4709999999995</v>
      </c>
      <c r="I275" s="24">
        <v>4900.45</v>
      </c>
      <c r="J275" s="24">
        <v>2.58</v>
      </c>
      <c r="K275" s="24">
        <v>420.399</v>
      </c>
      <c r="L275" s="24">
        <v>0</v>
      </c>
      <c r="M275" s="24">
        <v>0.72</v>
      </c>
      <c r="N275" s="20">
        <v>96.611999999999995</v>
      </c>
    </row>
    <row r="276" spans="1:14" s="20" customFormat="1">
      <c r="A276" s="20">
        <v>17605</v>
      </c>
      <c r="B276" s="20" t="s">
        <v>749</v>
      </c>
      <c r="C276" s="21">
        <v>42338</v>
      </c>
      <c r="D276" s="22">
        <v>30</v>
      </c>
      <c r="E276" s="23">
        <v>0.438</v>
      </c>
      <c r="F276" s="24">
        <v>10.222</v>
      </c>
      <c r="G276" s="24">
        <v>10.334</v>
      </c>
      <c r="H276" s="24">
        <v>3426.261</v>
      </c>
      <c r="I276" s="24">
        <v>3795.75</v>
      </c>
      <c r="J276" s="24">
        <v>1.98</v>
      </c>
      <c r="K276" s="24">
        <v>367.50900000000001</v>
      </c>
      <c r="L276" s="24">
        <v>0</v>
      </c>
      <c r="M276" s="24">
        <v>0.55000000000000004</v>
      </c>
      <c r="N276" s="20">
        <v>73.930000000000007</v>
      </c>
    </row>
    <row r="277" spans="1:14" s="20" customFormat="1">
      <c r="A277" s="20">
        <v>18057</v>
      </c>
      <c r="B277" s="20" t="s">
        <v>750</v>
      </c>
      <c r="C277" s="21">
        <v>42338</v>
      </c>
      <c r="D277" s="22">
        <v>30</v>
      </c>
      <c r="E277" s="23">
        <v>0.77800000000000002</v>
      </c>
      <c r="F277" s="24">
        <v>18.234000000000002</v>
      </c>
      <c r="G277" s="24">
        <v>18.437000000000001</v>
      </c>
      <c r="H277" s="24">
        <v>6113.3559999999998</v>
      </c>
      <c r="I277" s="24">
        <v>6606.3</v>
      </c>
      <c r="J277" s="24">
        <v>3.53</v>
      </c>
      <c r="K277" s="24">
        <v>489.41399999999999</v>
      </c>
      <c r="L277" s="24">
        <v>0</v>
      </c>
      <c r="M277" s="24">
        <v>0.98099999999999998</v>
      </c>
      <c r="N277" s="20">
        <v>131.911</v>
      </c>
    </row>
    <row r="278" spans="1:14" s="20" customFormat="1">
      <c r="A278" s="20">
        <v>20580</v>
      </c>
      <c r="B278" s="20" t="s">
        <v>979</v>
      </c>
      <c r="C278" s="21">
        <v>42338</v>
      </c>
      <c r="D278" s="22">
        <v>27</v>
      </c>
      <c r="E278" s="23">
        <v>0.98199999999999998</v>
      </c>
      <c r="F278" s="24">
        <v>3.7280000000000002</v>
      </c>
      <c r="G278" s="24">
        <v>3.274</v>
      </c>
      <c r="H278" s="24">
        <v>7430.8829999999998</v>
      </c>
      <c r="I278" s="24">
        <v>7998.94</v>
      </c>
      <c r="J278" s="24">
        <v>33.04</v>
      </c>
      <c r="K278" s="24">
        <v>535.01700000000005</v>
      </c>
      <c r="L278" s="24">
        <v>32.64</v>
      </c>
      <c r="M278" s="24">
        <v>0.52800000000000002</v>
      </c>
      <c r="N278" s="20">
        <v>282.46800000000002</v>
      </c>
    </row>
    <row r="279" spans="1:14" s="20" customFormat="1">
      <c r="A279" s="20">
        <v>20574</v>
      </c>
      <c r="B279" s="20" t="s">
        <v>894</v>
      </c>
      <c r="C279" s="21">
        <v>42338</v>
      </c>
      <c r="D279" s="22">
        <v>30</v>
      </c>
      <c r="E279" s="23">
        <v>0.499</v>
      </c>
      <c r="F279" s="24">
        <v>2.0870000000000002</v>
      </c>
      <c r="G279" s="24">
        <v>1.883</v>
      </c>
      <c r="H279" s="24">
        <v>4278.5929999999998</v>
      </c>
      <c r="I279" s="24">
        <v>4670.83</v>
      </c>
      <c r="J279" s="24">
        <v>0.23</v>
      </c>
      <c r="K279" s="24">
        <v>392.00700000000001</v>
      </c>
      <c r="L279" s="24">
        <v>0</v>
      </c>
      <c r="M279" s="24">
        <v>0.29499999999999998</v>
      </c>
      <c r="N279" s="20">
        <v>162.63999999999999</v>
      </c>
    </row>
    <row r="280" spans="1:14" s="20" customFormat="1">
      <c r="A280" s="20">
        <v>13992</v>
      </c>
      <c r="B280" s="20" t="s">
        <v>657</v>
      </c>
      <c r="C280" s="21">
        <v>42338</v>
      </c>
      <c r="D280" s="22">
        <v>30</v>
      </c>
      <c r="E280" s="23">
        <v>0.54600000000000004</v>
      </c>
      <c r="F280" s="24">
        <v>21.49</v>
      </c>
      <c r="G280" s="24">
        <v>21.864000000000001</v>
      </c>
      <c r="H280" s="24">
        <v>2721.915</v>
      </c>
      <c r="I280" s="24">
        <v>3019.31</v>
      </c>
      <c r="J280" s="24">
        <v>4.34</v>
      </c>
      <c r="K280" s="24">
        <v>293.05500000000001</v>
      </c>
      <c r="L280" s="24">
        <v>0</v>
      </c>
      <c r="M280" s="24">
        <v>0.92</v>
      </c>
      <c r="N280" s="20">
        <v>60.448999999999998</v>
      </c>
    </row>
    <row r="281" spans="1:14" s="20" customFormat="1">
      <c r="A281" s="20">
        <v>13180</v>
      </c>
      <c r="B281" s="20" t="s">
        <v>803</v>
      </c>
      <c r="C281" s="21">
        <v>42338</v>
      </c>
      <c r="D281" s="22">
        <v>30</v>
      </c>
      <c r="E281" s="23">
        <v>0.45500000000000002</v>
      </c>
      <c r="F281" s="24">
        <v>17.582000000000001</v>
      </c>
      <c r="G281" s="24">
        <v>17.878</v>
      </c>
      <c r="H281" s="24">
        <v>2225.8209999999999</v>
      </c>
      <c r="I281" s="24">
        <v>2499.92</v>
      </c>
      <c r="J281" s="24">
        <v>3.55</v>
      </c>
      <c r="K281" s="24">
        <v>270.54899999999998</v>
      </c>
      <c r="L281" s="24">
        <v>0</v>
      </c>
      <c r="M281" s="24">
        <v>0.751</v>
      </c>
      <c r="N281" s="20">
        <v>49.432000000000002</v>
      </c>
    </row>
    <row r="282" spans="1:14" s="20" customFormat="1">
      <c r="A282" s="20">
        <v>17606</v>
      </c>
      <c r="B282" s="20" t="s">
        <v>734</v>
      </c>
      <c r="C282" s="21">
        <v>42338</v>
      </c>
      <c r="D282" s="22">
        <v>30</v>
      </c>
      <c r="E282" s="23">
        <v>0.49199999999999999</v>
      </c>
      <c r="F282" s="24">
        <v>11.332000000000001</v>
      </c>
      <c r="G282" s="24">
        <v>11.45</v>
      </c>
      <c r="H282" s="24">
        <v>3796.37</v>
      </c>
      <c r="I282" s="24">
        <v>4182.8599999999997</v>
      </c>
      <c r="J282" s="24">
        <v>2.19</v>
      </c>
      <c r="K282" s="24">
        <v>384.3</v>
      </c>
      <c r="L282" s="24">
        <v>0</v>
      </c>
      <c r="M282" s="24">
        <v>0.61</v>
      </c>
      <c r="N282" s="20">
        <v>81.915999999999997</v>
      </c>
    </row>
    <row r="283" spans="1:14" s="20" customFormat="1">
      <c r="A283" s="20">
        <v>12232</v>
      </c>
      <c r="B283" s="20" t="s">
        <v>658</v>
      </c>
      <c r="C283" s="21">
        <v>42338</v>
      </c>
      <c r="D283" s="22">
        <v>30</v>
      </c>
      <c r="E283" s="23">
        <v>0.32400000000000001</v>
      </c>
      <c r="F283" s="24">
        <v>7.54</v>
      </c>
      <c r="G283" s="24">
        <v>7.6219999999999999</v>
      </c>
      <c r="H283" s="24">
        <v>2527.0549999999998</v>
      </c>
      <c r="I283" s="24">
        <v>2855.23</v>
      </c>
      <c r="J283" s="24">
        <v>1.46</v>
      </c>
      <c r="K283" s="24">
        <v>326.71499999999997</v>
      </c>
      <c r="L283" s="24">
        <v>0</v>
      </c>
      <c r="M283" s="24">
        <v>0.40600000000000003</v>
      </c>
      <c r="N283" s="20">
        <v>54.527999999999999</v>
      </c>
    </row>
    <row r="284" spans="1:14" s="20" customFormat="1">
      <c r="A284" s="20">
        <v>12229</v>
      </c>
      <c r="B284" s="20" t="s">
        <v>659</v>
      </c>
      <c r="C284" s="21">
        <v>42338</v>
      </c>
      <c r="D284" s="22">
        <v>30</v>
      </c>
      <c r="E284" s="23">
        <v>0.25600000000000001</v>
      </c>
      <c r="F284" s="24">
        <v>6.15</v>
      </c>
      <c r="G284" s="24">
        <v>6.2249999999999996</v>
      </c>
      <c r="H284" s="24">
        <v>2064.1559999999999</v>
      </c>
      <c r="I284" s="24">
        <v>2372.79</v>
      </c>
      <c r="J284" s="24">
        <v>1.19</v>
      </c>
      <c r="K284" s="24">
        <v>307.44400000000002</v>
      </c>
      <c r="L284" s="24">
        <v>0</v>
      </c>
      <c r="M284" s="24">
        <v>0.33100000000000002</v>
      </c>
      <c r="N284" s="20">
        <v>44.537999999999997</v>
      </c>
    </row>
    <row r="285" spans="1:14" s="20" customFormat="1">
      <c r="A285" s="20">
        <v>15229</v>
      </c>
      <c r="B285" s="20" t="s">
        <v>645</v>
      </c>
      <c r="C285" s="21">
        <v>42338</v>
      </c>
      <c r="D285" s="22">
        <v>30</v>
      </c>
      <c r="E285" s="23">
        <v>0.44</v>
      </c>
      <c r="F285" s="24">
        <v>6.1959999999999997</v>
      </c>
      <c r="G285" s="24">
        <v>6.1909999999999998</v>
      </c>
      <c r="H285" s="24">
        <v>4066.9929999999999</v>
      </c>
      <c r="I285" s="24">
        <v>4464.68</v>
      </c>
      <c r="J285" s="24">
        <v>1.1100000000000001</v>
      </c>
      <c r="K285" s="24">
        <v>396.577</v>
      </c>
      <c r="L285" s="24">
        <v>0</v>
      </c>
      <c r="M285" s="24">
        <v>0.435</v>
      </c>
      <c r="N285" s="20">
        <v>49.298000000000002</v>
      </c>
    </row>
    <row r="286" spans="1:14" s="20" customFormat="1">
      <c r="A286" s="20">
        <v>15450</v>
      </c>
      <c r="B286" s="20" t="s">
        <v>283</v>
      </c>
      <c r="C286" s="21">
        <v>42338</v>
      </c>
      <c r="D286" s="22">
        <v>30</v>
      </c>
      <c r="E286" s="23">
        <v>0.29299999999999998</v>
      </c>
      <c r="F286" s="24">
        <v>3.625</v>
      </c>
      <c r="G286" s="24">
        <v>3.589</v>
      </c>
      <c r="H286" s="24">
        <v>2357.3539999999998</v>
      </c>
      <c r="I286" s="24">
        <v>2677.02</v>
      </c>
      <c r="J286" s="24">
        <v>0.65</v>
      </c>
      <c r="K286" s="24">
        <v>319.01600000000002</v>
      </c>
      <c r="L286" s="24">
        <v>0</v>
      </c>
      <c r="M286" s="24">
        <v>0.25700000000000001</v>
      </c>
      <c r="N286" s="20">
        <v>28.574999999999999</v>
      </c>
    </row>
    <row r="287" spans="1:14" s="20" customFormat="1">
      <c r="A287" s="20">
        <v>12225</v>
      </c>
      <c r="B287" s="20" t="s">
        <v>131</v>
      </c>
      <c r="C287" s="21">
        <v>42338</v>
      </c>
      <c r="D287" s="22">
        <v>30</v>
      </c>
      <c r="E287" s="23">
        <v>0.22700000000000001</v>
      </c>
      <c r="F287" s="24">
        <v>0.90800000000000003</v>
      </c>
      <c r="G287" s="24">
        <v>0.80900000000000005</v>
      </c>
      <c r="H287" s="24">
        <v>1836.4839999999999</v>
      </c>
      <c r="I287" s="24">
        <v>2131.9699999999998</v>
      </c>
      <c r="J287" s="24">
        <v>0.1</v>
      </c>
      <c r="K287" s="24">
        <v>295.38600000000002</v>
      </c>
      <c r="L287" s="24">
        <v>0</v>
      </c>
      <c r="M287" s="24">
        <v>0.128</v>
      </c>
      <c r="N287" s="20">
        <v>69.81</v>
      </c>
    </row>
    <row r="288" spans="1:14" s="20" customFormat="1">
      <c r="A288" s="20">
        <v>15227</v>
      </c>
      <c r="B288" s="20" t="s">
        <v>646</v>
      </c>
      <c r="C288" s="21">
        <v>42338</v>
      </c>
      <c r="D288" s="22">
        <v>30</v>
      </c>
      <c r="E288" s="23">
        <v>0.33600000000000002</v>
      </c>
      <c r="F288" s="24">
        <v>4.6630000000000003</v>
      </c>
      <c r="G288" s="24">
        <v>4.6550000000000002</v>
      </c>
      <c r="H288" s="24">
        <v>3057.7779999999998</v>
      </c>
      <c r="I288" s="24">
        <v>3409.41</v>
      </c>
      <c r="J288" s="24">
        <v>0.84</v>
      </c>
      <c r="K288" s="24">
        <v>350.79199999999997</v>
      </c>
      <c r="L288" s="24">
        <v>0</v>
      </c>
      <c r="M288" s="24">
        <v>0.32800000000000001</v>
      </c>
      <c r="N288" s="20">
        <v>37.064999999999998</v>
      </c>
    </row>
    <row r="289" spans="1:14" s="20" customFormat="1">
      <c r="A289" s="20">
        <v>15642</v>
      </c>
      <c r="B289" s="20" t="s">
        <v>298</v>
      </c>
      <c r="C289" s="21">
        <v>42338</v>
      </c>
      <c r="D289" s="22">
        <v>30</v>
      </c>
      <c r="E289" s="23">
        <v>0.59099999999999997</v>
      </c>
      <c r="F289" s="24">
        <v>7.931</v>
      </c>
      <c r="G289" s="24">
        <v>7.899</v>
      </c>
      <c r="H289" s="24">
        <v>5188.5129999999999</v>
      </c>
      <c r="I289" s="24">
        <v>5707.39</v>
      </c>
      <c r="J289" s="24">
        <v>1.42</v>
      </c>
      <c r="K289" s="24">
        <v>517.45699999999999</v>
      </c>
      <c r="L289" s="24">
        <v>0</v>
      </c>
      <c r="M289" s="24">
        <v>0.55900000000000005</v>
      </c>
      <c r="N289" s="20">
        <v>62.893000000000001</v>
      </c>
    </row>
    <row r="290" spans="1:14" s="20" customFormat="1">
      <c r="A290" s="20">
        <v>15643</v>
      </c>
      <c r="B290" s="20" t="s">
        <v>647</v>
      </c>
      <c r="C290" s="21">
        <v>42338</v>
      </c>
      <c r="D290" s="22">
        <v>30</v>
      </c>
      <c r="E290" s="23">
        <v>0.41799999999999998</v>
      </c>
      <c r="F290" s="24">
        <v>5.8719999999999999</v>
      </c>
      <c r="G290" s="24">
        <v>5.867</v>
      </c>
      <c r="H290" s="24">
        <v>3853.8620000000001</v>
      </c>
      <c r="I290" s="24">
        <v>4311.82</v>
      </c>
      <c r="J290" s="24">
        <v>1.05</v>
      </c>
      <c r="K290" s="24">
        <v>456.90800000000002</v>
      </c>
      <c r="L290" s="24">
        <v>0</v>
      </c>
      <c r="M290" s="24">
        <v>0.41299999999999998</v>
      </c>
      <c r="N290" s="20">
        <v>46.716000000000001</v>
      </c>
    </row>
    <row r="291" spans="1:14" s="20" customFormat="1">
      <c r="A291" s="20">
        <v>17607</v>
      </c>
      <c r="B291" s="20" t="s">
        <v>751</v>
      </c>
      <c r="C291" s="21">
        <v>42338</v>
      </c>
      <c r="D291" s="22">
        <v>30</v>
      </c>
      <c r="E291" s="23">
        <v>0.496</v>
      </c>
      <c r="F291" s="24">
        <v>11.625999999999999</v>
      </c>
      <c r="G291" s="24">
        <v>11.755000000000001</v>
      </c>
      <c r="H291" s="24">
        <v>3897.2910000000002</v>
      </c>
      <c r="I291" s="24">
        <v>4288.42</v>
      </c>
      <c r="J291" s="24">
        <v>2.25</v>
      </c>
      <c r="K291" s="24">
        <v>388.87900000000002</v>
      </c>
      <c r="L291" s="24">
        <v>0</v>
      </c>
      <c r="M291" s="24">
        <v>0.625</v>
      </c>
      <c r="N291" s="20">
        <v>84.093000000000004</v>
      </c>
    </row>
    <row r="292" spans="1:14" s="20" customFormat="1">
      <c r="A292" s="20">
        <v>17603</v>
      </c>
      <c r="B292" s="20" t="s">
        <v>745</v>
      </c>
      <c r="C292" s="21">
        <v>42338</v>
      </c>
      <c r="D292" s="22">
        <v>30</v>
      </c>
      <c r="E292" s="23">
        <v>0.48799999999999999</v>
      </c>
      <c r="F292" s="24">
        <v>11.441000000000001</v>
      </c>
      <c r="G292" s="24">
        <v>11.569000000000001</v>
      </c>
      <c r="H292" s="24">
        <v>3836.069</v>
      </c>
      <c r="I292" s="24">
        <v>4224.38</v>
      </c>
      <c r="J292" s="24">
        <v>2.21</v>
      </c>
      <c r="K292" s="24">
        <v>386.101</v>
      </c>
      <c r="L292" s="24">
        <v>0</v>
      </c>
      <c r="M292" s="24">
        <v>0.61599999999999999</v>
      </c>
      <c r="N292" s="20">
        <v>82.772000000000006</v>
      </c>
    </row>
    <row r="293" spans="1:14" s="20" customFormat="1">
      <c r="A293" s="20">
        <v>15360</v>
      </c>
      <c r="B293" s="20" t="s">
        <v>291</v>
      </c>
      <c r="C293" s="21">
        <v>42338</v>
      </c>
      <c r="D293" s="22">
        <v>30</v>
      </c>
      <c r="E293" s="23">
        <v>0.29199999999999998</v>
      </c>
      <c r="F293" s="24">
        <v>3.867</v>
      </c>
      <c r="G293" s="24">
        <v>3.8490000000000002</v>
      </c>
      <c r="H293" s="24">
        <v>2527.9169999999999</v>
      </c>
      <c r="I293" s="24">
        <v>2855.36</v>
      </c>
      <c r="J293" s="24">
        <v>0.69</v>
      </c>
      <c r="K293" s="24">
        <v>326.75299999999999</v>
      </c>
      <c r="L293" s="24">
        <v>0</v>
      </c>
      <c r="M293" s="24">
        <v>0.27400000000000002</v>
      </c>
      <c r="N293" s="20">
        <v>30.641999999999999</v>
      </c>
    </row>
    <row r="294" spans="1:14" s="20" customFormat="1">
      <c r="A294" s="20">
        <v>15359</v>
      </c>
      <c r="B294" s="20" t="s">
        <v>292</v>
      </c>
      <c r="C294" s="21">
        <v>42338</v>
      </c>
      <c r="D294" s="22">
        <v>30</v>
      </c>
      <c r="E294" s="23">
        <v>0.44</v>
      </c>
      <c r="F294" s="24">
        <v>6.0960000000000001</v>
      </c>
      <c r="G294" s="24">
        <v>6.085</v>
      </c>
      <c r="H294" s="24">
        <v>3995.7260000000001</v>
      </c>
      <c r="I294" s="24">
        <v>4460.16</v>
      </c>
      <c r="J294" s="24">
        <v>1.0900000000000001</v>
      </c>
      <c r="K294" s="24">
        <v>463.34399999999999</v>
      </c>
      <c r="L294" s="24">
        <v>0</v>
      </c>
      <c r="M294" s="24">
        <v>0.42899999999999999</v>
      </c>
      <c r="N294" s="20">
        <v>48.435000000000002</v>
      </c>
    </row>
    <row r="295" spans="1:14" s="20" customFormat="1">
      <c r="A295" s="20">
        <v>15230</v>
      </c>
      <c r="B295" s="20" t="s">
        <v>648</v>
      </c>
      <c r="C295" s="21">
        <v>42338</v>
      </c>
      <c r="D295" s="22">
        <v>30</v>
      </c>
      <c r="E295" s="23">
        <v>0.37</v>
      </c>
      <c r="F295" s="24">
        <v>4.9950000000000001</v>
      </c>
      <c r="G295" s="24">
        <v>4.9770000000000003</v>
      </c>
      <c r="H295" s="24">
        <v>3268.6129999999998</v>
      </c>
      <c r="I295" s="24">
        <v>3641.41</v>
      </c>
      <c r="J295" s="24">
        <v>0.89</v>
      </c>
      <c r="K295" s="24">
        <v>371.90699999999998</v>
      </c>
      <c r="L295" s="24">
        <v>0</v>
      </c>
      <c r="M295" s="24">
        <v>0.35199999999999998</v>
      </c>
      <c r="N295" s="20">
        <v>39.621000000000002</v>
      </c>
    </row>
    <row r="296" spans="1:14" s="20" customFormat="1">
      <c r="A296" s="20">
        <v>15228</v>
      </c>
      <c r="B296" s="20" t="s">
        <v>299</v>
      </c>
      <c r="C296" s="21">
        <v>42338</v>
      </c>
      <c r="D296" s="22">
        <v>30</v>
      </c>
      <c r="E296" s="23">
        <v>0.30499999999999999</v>
      </c>
      <c r="F296" s="24">
        <v>4.0620000000000003</v>
      </c>
      <c r="G296" s="24">
        <v>4.0439999999999996</v>
      </c>
      <c r="H296" s="24">
        <v>2656.5790000000002</v>
      </c>
      <c r="I296" s="24">
        <v>2989.9</v>
      </c>
      <c r="J296" s="24">
        <v>0.73</v>
      </c>
      <c r="K296" s="24">
        <v>332.59100000000001</v>
      </c>
      <c r="L296" s="24">
        <v>0</v>
      </c>
      <c r="M296" s="24">
        <v>0.28699999999999998</v>
      </c>
      <c r="N296" s="20">
        <v>32.201999999999998</v>
      </c>
    </row>
    <row r="297" spans="1:14" s="20" customFormat="1">
      <c r="A297" s="20">
        <v>15644</v>
      </c>
      <c r="B297" s="20" t="s">
        <v>649</v>
      </c>
      <c r="C297" s="21">
        <v>42338</v>
      </c>
      <c r="D297" s="22">
        <v>30</v>
      </c>
      <c r="E297" s="23">
        <v>0.58199999999999996</v>
      </c>
      <c r="F297" s="24">
        <v>8.1950000000000003</v>
      </c>
      <c r="G297" s="24">
        <v>8.1890000000000001</v>
      </c>
      <c r="H297" s="24">
        <v>5378.2070000000003</v>
      </c>
      <c r="I297" s="24">
        <v>5905.74</v>
      </c>
      <c r="J297" s="24">
        <v>1.47</v>
      </c>
      <c r="K297" s="24">
        <v>526.06299999999999</v>
      </c>
      <c r="L297" s="24">
        <v>0</v>
      </c>
      <c r="M297" s="24">
        <v>0.57599999999999996</v>
      </c>
      <c r="N297" s="20">
        <v>65.192999999999998</v>
      </c>
    </row>
    <row r="298" spans="1:14" s="20" customFormat="1">
      <c r="A298" s="20">
        <v>15782</v>
      </c>
      <c r="B298" s="20" t="s">
        <v>293</v>
      </c>
      <c r="C298" s="21">
        <v>42338</v>
      </c>
      <c r="D298" s="22">
        <v>30</v>
      </c>
      <c r="E298" s="23">
        <v>0.47499999999999998</v>
      </c>
      <c r="F298" s="24">
        <v>6.5389999999999997</v>
      </c>
      <c r="G298" s="24">
        <v>6.5250000000000004</v>
      </c>
      <c r="H298" s="24">
        <v>4285.4809999999998</v>
      </c>
      <c r="I298" s="24">
        <v>4763.1400000000003</v>
      </c>
      <c r="J298" s="24">
        <v>1.17</v>
      </c>
      <c r="K298" s="24">
        <v>476.48899999999998</v>
      </c>
      <c r="L298" s="24">
        <v>0</v>
      </c>
      <c r="M298" s="24">
        <v>0.46100000000000002</v>
      </c>
      <c r="N298" s="20">
        <v>51.948</v>
      </c>
    </row>
    <row r="299" spans="1:14" s="20" customFormat="1">
      <c r="A299" s="20">
        <v>18063</v>
      </c>
      <c r="B299" s="20" t="s">
        <v>746</v>
      </c>
      <c r="C299" s="21">
        <v>42338</v>
      </c>
      <c r="D299" s="22">
        <v>30</v>
      </c>
      <c r="E299" s="23">
        <v>0.38800000000000001</v>
      </c>
      <c r="F299" s="24">
        <v>9.0350000000000001</v>
      </c>
      <c r="G299" s="24">
        <v>9.1329999999999991</v>
      </c>
      <c r="H299" s="24">
        <v>3027.645</v>
      </c>
      <c r="I299" s="24">
        <v>3378.82</v>
      </c>
      <c r="J299" s="24">
        <v>1.75</v>
      </c>
      <c r="K299" s="24">
        <v>349.42500000000001</v>
      </c>
      <c r="L299" s="24">
        <v>0</v>
      </c>
      <c r="M299" s="24">
        <v>0.48599999999999999</v>
      </c>
      <c r="N299" s="20">
        <v>65.328999999999994</v>
      </c>
    </row>
    <row r="300" spans="1:14" s="20" customFormat="1">
      <c r="A300" s="20">
        <v>15231</v>
      </c>
      <c r="B300" s="20" t="s">
        <v>294</v>
      </c>
      <c r="C300" s="21">
        <v>42338</v>
      </c>
      <c r="D300" s="22">
        <v>30</v>
      </c>
      <c r="E300" s="23">
        <v>0.26300000000000001</v>
      </c>
      <c r="F300" s="24">
        <v>3.698</v>
      </c>
      <c r="G300" s="24">
        <v>3.6949999999999998</v>
      </c>
      <c r="H300" s="24">
        <v>2426.9949999999999</v>
      </c>
      <c r="I300" s="24">
        <v>2819.83</v>
      </c>
      <c r="J300" s="24">
        <v>0.66</v>
      </c>
      <c r="K300" s="24">
        <v>392.17500000000001</v>
      </c>
      <c r="L300" s="24">
        <v>0</v>
      </c>
      <c r="M300" s="24">
        <v>0.26</v>
      </c>
      <c r="N300" s="20">
        <v>29.419</v>
      </c>
    </row>
    <row r="301" spans="1:14" s="20" customFormat="1">
      <c r="A301" s="20">
        <v>15358</v>
      </c>
      <c r="B301" s="20" t="s">
        <v>295</v>
      </c>
      <c r="C301" s="21">
        <v>42338</v>
      </c>
      <c r="D301" s="22">
        <v>30</v>
      </c>
      <c r="E301" s="23">
        <v>0.628</v>
      </c>
      <c r="F301" s="24">
        <v>8.69</v>
      </c>
      <c r="G301" s="24">
        <v>8.6750000000000007</v>
      </c>
      <c r="H301" s="24">
        <v>5697.0420000000004</v>
      </c>
      <c r="I301" s="24">
        <v>6239.13</v>
      </c>
      <c r="J301" s="24">
        <v>1.56</v>
      </c>
      <c r="K301" s="24">
        <v>540.52800000000002</v>
      </c>
      <c r="L301" s="24">
        <v>0</v>
      </c>
      <c r="M301" s="24">
        <v>0.61299999999999999</v>
      </c>
      <c r="N301" s="20">
        <v>69.057000000000002</v>
      </c>
    </row>
    <row r="302" spans="1:14" s="20" customFormat="1">
      <c r="A302" s="20">
        <v>15357</v>
      </c>
      <c r="B302" s="20" t="s">
        <v>285</v>
      </c>
      <c r="C302" s="21">
        <v>42338</v>
      </c>
      <c r="D302" s="22">
        <v>30</v>
      </c>
      <c r="E302" s="23">
        <v>0.28999999999999998</v>
      </c>
      <c r="F302" s="24">
        <v>4.1139999999999999</v>
      </c>
      <c r="G302" s="24">
        <v>4.1130000000000004</v>
      </c>
      <c r="H302" s="24">
        <v>2702.1129999999998</v>
      </c>
      <c r="I302" s="24">
        <v>3107.51</v>
      </c>
      <c r="J302" s="24">
        <v>0.74</v>
      </c>
      <c r="K302" s="24">
        <v>404.65699999999998</v>
      </c>
      <c r="L302" s="24">
        <v>0</v>
      </c>
      <c r="M302" s="24">
        <v>0.28899999999999998</v>
      </c>
      <c r="N302" s="20">
        <v>32.755000000000003</v>
      </c>
    </row>
    <row r="303" spans="1:14" s="20" customFormat="1">
      <c r="A303" s="20">
        <v>15641</v>
      </c>
      <c r="B303" s="20" t="s">
        <v>296</v>
      </c>
      <c r="C303" s="21">
        <v>42338</v>
      </c>
      <c r="D303" s="22">
        <v>10</v>
      </c>
      <c r="E303" s="23">
        <v>4.3999999999999997E-2</v>
      </c>
      <c r="F303" s="24">
        <v>0.61</v>
      </c>
      <c r="G303" s="24">
        <v>0.60899999999999999</v>
      </c>
      <c r="H303" s="24">
        <v>399.86</v>
      </c>
      <c r="I303" s="24">
        <v>700.18</v>
      </c>
      <c r="J303" s="24">
        <v>0.11</v>
      </c>
      <c r="K303" s="24">
        <v>300.20999999999998</v>
      </c>
      <c r="L303" s="24">
        <v>0</v>
      </c>
      <c r="M303" s="24">
        <v>4.2999999999999997E-2</v>
      </c>
      <c r="N303" s="20">
        <v>4.8470000000000004</v>
      </c>
    </row>
    <row r="304" spans="1:14" s="20" customFormat="1">
      <c r="A304" s="20">
        <v>15447</v>
      </c>
      <c r="B304" s="20" t="s">
        <v>284</v>
      </c>
      <c r="C304" s="21">
        <v>42338</v>
      </c>
      <c r="D304" s="22">
        <v>30</v>
      </c>
      <c r="E304" s="23">
        <v>0.36699999999999999</v>
      </c>
      <c r="F304" s="24">
        <v>5.0780000000000003</v>
      </c>
      <c r="G304" s="24">
        <v>5.0679999999999996</v>
      </c>
      <c r="H304" s="24">
        <v>3329.07</v>
      </c>
      <c r="I304" s="24">
        <v>3763.08</v>
      </c>
      <c r="J304" s="24">
        <v>0.91</v>
      </c>
      <c r="K304" s="24">
        <v>433.1</v>
      </c>
      <c r="L304" s="24">
        <v>0</v>
      </c>
      <c r="M304" s="24">
        <v>0.35699999999999998</v>
      </c>
      <c r="N304" s="20">
        <v>40.353999999999999</v>
      </c>
    </row>
    <row r="305" spans="1:14" s="20" customFormat="1">
      <c r="A305" s="20">
        <v>15783</v>
      </c>
      <c r="B305" s="20" t="s">
        <v>650</v>
      </c>
      <c r="C305" s="21">
        <v>42338</v>
      </c>
      <c r="D305" s="22">
        <v>30</v>
      </c>
      <c r="E305" s="23">
        <v>0.432</v>
      </c>
      <c r="F305" s="24">
        <v>6.0590000000000002</v>
      </c>
      <c r="G305" s="24">
        <v>6.0549999999999997</v>
      </c>
      <c r="H305" s="24">
        <v>3976.5940000000001</v>
      </c>
      <c r="I305" s="24">
        <v>4440.16</v>
      </c>
      <c r="J305" s="24">
        <v>1.0900000000000001</v>
      </c>
      <c r="K305" s="24">
        <v>462.476</v>
      </c>
      <c r="L305" s="24">
        <v>0</v>
      </c>
      <c r="M305" s="24">
        <v>0.42799999999999999</v>
      </c>
      <c r="N305" s="20">
        <v>48.203000000000003</v>
      </c>
    </row>
    <row r="306" spans="1:14" s="20" customFormat="1">
      <c r="A306" s="20">
        <v>15226</v>
      </c>
      <c r="B306" s="20" t="s">
        <v>651</v>
      </c>
      <c r="C306" s="21">
        <v>42338</v>
      </c>
      <c r="D306" s="22">
        <v>30</v>
      </c>
      <c r="E306" s="23">
        <v>0.311</v>
      </c>
      <c r="F306" s="24">
        <v>4.4379999999999997</v>
      </c>
      <c r="G306" s="24">
        <v>4.4390000000000001</v>
      </c>
      <c r="H306" s="24">
        <v>2915.627</v>
      </c>
      <c r="I306" s="24">
        <v>3330.77</v>
      </c>
      <c r="J306" s="24">
        <v>0.8</v>
      </c>
      <c r="K306" s="24">
        <v>414.34300000000002</v>
      </c>
      <c r="L306" s="24">
        <v>0</v>
      </c>
      <c r="M306" s="24">
        <v>0.312</v>
      </c>
      <c r="N306" s="20">
        <v>35.341999999999999</v>
      </c>
    </row>
    <row r="307" spans="1:14" s="20" customFormat="1">
      <c r="A307" s="20">
        <v>15015</v>
      </c>
      <c r="B307" s="20" t="s">
        <v>301</v>
      </c>
      <c r="C307" s="21">
        <v>42338</v>
      </c>
      <c r="D307" s="22">
        <v>30</v>
      </c>
      <c r="E307" s="23">
        <v>0.46400000000000002</v>
      </c>
      <c r="F307" s="24">
        <v>6.3940000000000001</v>
      </c>
      <c r="G307" s="24">
        <v>6.3789999999999996</v>
      </c>
      <c r="H307" s="24">
        <v>4190.8729999999996</v>
      </c>
      <c r="I307" s="24">
        <v>4664.22</v>
      </c>
      <c r="J307" s="24">
        <v>1.1499999999999999</v>
      </c>
      <c r="K307" s="24">
        <v>472.197</v>
      </c>
      <c r="L307" s="24">
        <v>0</v>
      </c>
      <c r="M307" s="24">
        <v>0.44900000000000001</v>
      </c>
      <c r="N307" s="20">
        <v>50.8</v>
      </c>
    </row>
    <row r="308" spans="1:14" s="20" customFormat="1">
      <c r="A308" s="20">
        <v>15014</v>
      </c>
      <c r="B308" s="20" t="s">
        <v>288</v>
      </c>
      <c r="C308" s="21">
        <v>42338</v>
      </c>
      <c r="D308" s="22">
        <v>30</v>
      </c>
      <c r="E308" s="23">
        <v>0.311</v>
      </c>
      <c r="F308" s="24">
        <v>4.3540000000000001</v>
      </c>
      <c r="G308" s="24">
        <v>4.3490000000000002</v>
      </c>
      <c r="H308" s="24">
        <v>2855.9349999999999</v>
      </c>
      <c r="I308" s="24">
        <v>3268.35</v>
      </c>
      <c r="J308" s="24">
        <v>0.78</v>
      </c>
      <c r="K308" s="24">
        <v>411.63499999999999</v>
      </c>
      <c r="L308" s="24">
        <v>0</v>
      </c>
      <c r="M308" s="24">
        <v>0.30599999999999999</v>
      </c>
      <c r="N308" s="20">
        <v>34.618000000000002</v>
      </c>
    </row>
    <row r="309" spans="1:14" s="20" customFormat="1">
      <c r="A309" s="20">
        <v>15449</v>
      </c>
      <c r="B309" s="20" t="s">
        <v>297</v>
      </c>
      <c r="C309" s="21">
        <v>42338</v>
      </c>
      <c r="D309" s="22">
        <v>30</v>
      </c>
      <c r="E309" s="23">
        <v>0.65500000000000003</v>
      </c>
      <c r="F309" s="24">
        <v>8.5909999999999993</v>
      </c>
      <c r="G309" s="24">
        <v>8.5419999999999998</v>
      </c>
      <c r="H309" s="24">
        <v>5610.6610000000001</v>
      </c>
      <c r="I309" s="24">
        <v>6148.81</v>
      </c>
      <c r="J309" s="24">
        <v>1.54</v>
      </c>
      <c r="K309" s="24">
        <v>536.60900000000004</v>
      </c>
      <c r="L309" s="24">
        <v>0</v>
      </c>
      <c r="M309" s="24">
        <v>0.60599999999999998</v>
      </c>
      <c r="N309" s="20">
        <v>68.010000000000005</v>
      </c>
    </row>
    <row r="310" spans="1:14" s="20" customFormat="1">
      <c r="A310" s="20">
        <v>15448</v>
      </c>
      <c r="B310" s="20" t="s">
        <v>300</v>
      </c>
      <c r="C310" s="21">
        <v>42338</v>
      </c>
      <c r="D310" s="22">
        <v>30</v>
      </c>
      <c r="E310" s="23">
        <v>0.85099999999999998</v>
      </c>
      <c r="F310" s="24">
        <v>11.754</v>
      </c>
      <c r="G310" s="24">
        <v>11.731999999999999</v>
      </c>
      <c r="H310" s="24">
        <v>7705.8109999999997</v>
      </c>
      <c r="I310" s="24">
        <v>8343.0499999999993</v>
      </c>
      <c r="J310" s="24">
        <v>2.11</v>
      </c>
      <c r="K310" s="24">
        <v>635.12900000000002</v>
      </c>
      <c r="L310" s="24">
        <v>0</v>
      </c>
      <c r="M310" s="24">
        <v>0.82899999999999996</v>
      </c>
      <c r="N310" s="20">
        <v>93.406999999999996</v>
      </c>
    </row>
    <row r="311" spans="1:14" s="20" customFormat="1">
      <c r="A311" s="20">
        <v>19281</v>
      </c>
      <c r="B311" s="20" t="s">
        <v>774</v>
      </c>
      <c r="C311" s="21">
        <v>42338</v>
      </c>
      <c r="D311" s="22">
        <v>30</v>
      </c>
      <c r="E311" s="23">
        <v>0.45700000000000002</v>
      </c>
      <c r="F311" s="24">
        <v>9.7379999999999995</v>
      </c>
      <c r="G311" s="24">
        <v>9.8030000000000008</v>
      </c>
      <c r="H311" s="24">
        <v>3276.3609999999999</v>
      </c>
      <c r="I311" s="24">
        <v>3638.94</v>
      </c>
      <c r="J311" s="24">
        <v>1.87</v>
      </c>
      <c r="K311" s="24">
        <v>360.709</v>
      </c>
      <c r="L311" s="24">
        <v>0</v>
      </c>
      <c r="M311" s="24">
        <v>0.52200000000000002</v>
      </c>
      <c r="N311" s="20">
        <v>64.739999999999995</v>
      </c>
    </row>
    <row r="312" spans="1:14" s="20" customFormat="1">
      <c r="A312" s="20">
        <v>17695</v>
      </c>
      <c r="B312" s="20" t="s">
        <v>776</v>
      </c>
      <c r="C312" s="21">
        <v>42338</v>
      </c>
      <c r="D312" s="22">
        <v>30</v>
      </c>
      <c r="E312" s="23">
        <v>0.32300000000000001</v>
      </c>
      <c r="F312" s="24">
        <v>6.8630000000000004</v>
      </c>
      <c r="G312" s="24">
        <v>6.9059999999999997</v>
      </c>
      <c r="H312" s="24">
        <v>2308.3760000000002</v>
      </c>
      <c r="I312" s="24">
        <v>2626.49</v>
      </c>
      <c r="J312" s="24">
        <v>1.32</v>
      </c>
      <c r="K312" s="24">
        <v>316.79399999999998</v>
      </c>
      <c r="L312" s="24">
        <v>0</v>
      </c>
      <c r="M312" s="24">
        <v>0.36599999999999999</v>
      </c>
      <c r="N312" s="20">
        <v>45.613</v>
      </c>
    </row>
    <row r="313" spans="1:14" s="20" customFormat="1">
      <c r="A313" s="20">
        <v>18176</v>
      </c>
      <c r="B313" s="20" t="s">
        <v>772</v>
      </c>
      <c r="C313" s="21">
        <v>42338</v>
      </c>
      <c r="D313" s="22">
        <v>30</v>
      </c>
      <c r="E313" s="23">
        <v>0.505</v>
      </c>
      <c r="F313" s="24">
        <v>10.311999999999999</v>
      </c>
      <c r="G313" s="24">
        <v>10.36</v>
      </c>
      <c r="H313" s="24">
        <v>3462.6109999999999</v>
      </c>
      <c r="I313" s="24">
        <v>3833.75</v>
      </c>
      <c r="J313" s="24">
        <v>1.98</v>
      </c>
      <c r="K313" s="24">
        <v>369.15899999999999</v>
      </c>
      <c r="L313" s="24">
        <v>0</v>
      </c>
      <c r="M313" s="24">
        <v>0.55300000000000005</v>
      </c>
      <c r="N313" s="20">
        <v>68.42</v>
      </c>
    </row>
    <row r="314" spans="1:14" s="20" customFormat="1">
      <c r="A314" s="20">
        <v>19279</v>
      </c>
      <c r="B314" s="20" t="s">
        <v>785</v>
      </c>
      <c r="C314" s="21">
        <v>42338</v>
      </c>
      <c r="D314" s="22">
        <v>30</v>
      </c>
      <c r="E314" s="23">
        <v>0.57399999999999995</v>
      </c>
      <c r="F314" s="24">
        <v>12.169</v>
      </c>
      <c r="G314" s="24">
        <v>12.247</v>
      </c>
      <c r="H314" s="24">
        <v>4093.395</v>
      </c>
      <c r="I314" s="24">
        <v>4493.51</v>
      </c>
      <c r="J314" s="24">
        <v>2.34</v>
      </c>
      <c r="K314" s="24">
        <v>397.77499999999998</v>
      </c>
      <c r="L314" s="24">
        <v>0</v>
      </c>
      <c r="M314" s="24">
        <v>0.65200000000000002</v>
      </c>
      <c r="N314" s="20">
        <v>80.885000000000005</v>
      </c>
    </row>
    <row r="315" spans="1:14" s="20" customFormat="1">
      <c r="A315" s="20">
        <v>19277</v>
      </c>
      <c r="B315" s="20" t="s">
        <v>782</v>
      </c>
      <c r="C315" s="21">
        <v>42338</v>
      </c>
      <c r="D315" s="22">
        <v>30</v>
      </c>
      <c r="E315" s="23">
        <v>0.63300000000000001</v>
      </c>
      <c r="F315" s="24">
        <v>14.16</v>
      </c>
      <c r="G315" s="24">
        <v>14.284000000000001</v>
      </c>
      <c r="H315" s="24">
        <v>4774.0169999999998</v>
      </c>
      <c r="I315" s="24">
        <v>5205.3999999999996</v>
      </c>
      <c r="J315" s="24">
        <v>2.73</v>
      </c>
      <c r="K315" s="24">
        <v>428.65300000000002</v>
      </c>
      <c r="L315" s="24">
        <v>0</v>
      </c>
      <c r="M315" s="24">
        <v>0.75700000000000001</v>
      </c>
      <c r="N315" s="20">
        <v>94.334000000000003</v>
      </c>
    </row>
    <row r="316" spans="1:14" s="20" customFormat="1">
      <c r="A316" s="20">
        <v>14709</v>
      </c>
      <c r="B316" s="20" t="s">
        <v>258</v>
      </c>
      <c r="C316" s="21">
        <v>42338</v>
      </c>
      <c r="D316" s="22">
        <v>30</v>
      </c>
      <c r="E316" s="23">
        <v>0.81699999999999995</v>
      </c>
      <c r="F316" s="24">
        <v>9.4120000000000008</v>
      </c>
      <c r="G316" s="24">
        <v>9.1340000000000003</v>
      </c>
      <c r="H316" s="24">
        <v>3999.0740000000001</v>
      </c>
      <c r="I316" s="24">
        <v>4323.4399999999996</v>
      </c>
      <c r="J316" s="24">
        <v>1.71</v>
      </c>
      <c r="K316" s="24">
        <v>322.65600000000001</v>
      </c>
      <c r="L316" s="24">
        <v>0</v>
      </c>
      <c r="M316" s="24">
        <v>0.53900000000000003</v>
      </c>
      <c r="N316" s="20">
        <v>1.1839999999999999</v>
      </c>
    </row>
    <row r="317" spans="1:14" s="20" customFormat="1">
      <c r="A317" s="20">
        <v>19284</v>
      </c>
      <c r="B317" s="20" t="s">
        <v>773</v>
      </c>
      <c r="C317" s="21">
        <v>42338</v>
      </c>
      <c r="D317" s="22">
        <v>30</v>
      </c>
      <c r="E317" s="23">
        <v>0.436</v>
      </c>
      <c r="F317" s="24">
        <v>9.0060000000000002</v>
      </c>
      <c r="G317" s="24">
        <v>9.0530000000000008</v>
      </c>
      <c r="H317" s="24">
        <v>3025.54</v>
      </c>
      <c r="I317" s="24">
        <v>3376.6</v>
      </c>
      <c r="J317" s="24">
        <v>1.73</v>
      </c>
      <c r="K317" s="24">
        <v>349.33</v>
      </c>
      <c r="L317" s="24">
        <v>0</v>
      </c>
      <c r="M317" s="24">
        <v>0.48299999999999998</v>
      </c>
      <c r="N317" s="20">
        <v>59.783999999999999</v>
      </c>
    </row>
    <row r="318" spans="1:14" s="20" customFormat="1">
      <c r="A318" s="20">
        <v>15246</v>
      </c>
      <c r="B318" s="20" t="s">
        <v>259</v>
      </c>
      <c r="C318" s="21">
        <v>42338</v>
      </c>
      <c r="D318" s="22">
        <v>30</v>
      </c>
      <c r="E318" s="23">
        <v>0.59299999999999997</v>
      </c>
      <c r="F318" s="24">
        <v>6.9180000000000001</v>
      </c>
      <c r="G318" s="24">
        <v>6.7210000000000001</v>
      </c>
      <c r="H318" s="24">
        <v>2942.3159999999998</v>
      </c>
      <c r="I318" s="24">
        <v>3359.13</v>
      </c>
      <c r="J318" s="24">
        <v>1.26</v>
      </c>
      <c r="K318" s="24">
        <v>415.55399999999997</v>
      </c>
      <c r="L318" s="24">
        <v>0</v>
      </c>
      <c r="M318" s="24">
        <v>0.39600000000000002</v>
      </c>
      <c r="N318" s="20">
        <v>91.382000000000005</v>
      </c>
    </row>
    <row r="319" spans="1:14" s="20" customFormat="1">
      <c r="A319" s="20">
        <v>15012</v>
      </c>
      <c r="B319" s="20" t="s">
        <v>253</v>
      </c>
      <c r="C319" s="21">
        <v>42338</v>
      </c>
      <c r="D319" s="22">
        <v>30</v>
      </c>
      <c r="E319" s="23">
        <v>1.0049999999999999</v>
      </c>
      <c r="F319" s="24">
        <v>11.629</v>
      </c>
      <c r="G319" s="24">
        <v>11.289</v>
      </c>
      <c r="H319" s="24">
        <v>4942.4750000000004</v>
      </c>
      <c r="I319" s="24">
        <v>5450.89</v>
      </c>
      <c r="J319" s="24">
        <v>2.12</v>
      </c>
      <c r="K319" s="24">
        <v>506.29500000000002</v>
      </c>
      <c r="L319" s="24">
        <v>0</v>
      </c>
      <c r="M319" s="24">
        <v>0.66500000000000004</v>
      </c>
      <c r="N319" s="20">
        <v>153.50399999999999</v>
      </c>
    </row>
    <row r="320" spans="1:14" s="20" customFormat="1">
      <c r="A320" s="20">
        <v>15245</v>
      </c>
      <c r="B320" s="20" t="s">
        <v>260</v>
      </c>
      <c r="C320" s="21">
        <v>42338</v>
      </c>
      <c r="D320" s="22">
        <v>30</v>
      </c>
      <c r="E320" s="23">
        <v>0.52300000000000002</v>
      </c>
      <c r="F320" s="24">
        <v>6.1369999999999996</v>
      </c>
      <c r="G320" s="24">
        <v>5.9649999999999999</v>
      </c>
      <c r="H320" s="24">
        <v>2611.5230000000001</v>
      </c>
      <c r="I320" s="24">
        <v>2872.35</v>
      </c>
      <c r="J320" s="24">
        <v>1.1200000000000001</v>
      </c>
      <c r="K320" s="24">
        <v>259.70699999999999</v>
      </c>
      <c r="L320" s="24">
        <v>0</v>
      </c>
      <c r="M320" s="24">
        <v>0.35099999999999998</v>
      </c>
      <c r="N320" s="20">
        <v>81.108000000000004</v>
      </c>
    </row>
    <row r="321" spans="1:14" s="20" customFormat="1">
      <c r="A321" s="20">
        <v>15013</v>
      </c>
      <c r="B321" s="20" t="s">
        <v>254</v>
      </c>
      <c r="C321" s="21">
        <v>42338</v>
      </c>
      <c r="D321" s="22">
        <v>30</v>
      </c>
      <c r="E321" s="23">
        <v>0.68300000000000005</v>
      </c>
      <c r="F321" s="24">
        <v>7.8710000000000004</v>
      </c>
      <c r="G321" s="24">
        <v>7.6379999999999999</v>
      </c>
      <c r="H321" s="24">
        <v>3343.8969999999999</v>
      </c>
      <c r="I321" s="24">
        <v>3779.1</v>
      </c>
      <c r="J321" s="24">
        <v>1.43</v>
      </c>
      <c r="K321" s="24">
        <v>433.77300000000002</v>
      </c>
      <c r="L321" s="24">
        <v>0</v>
      </c>
      <c r="M321" s="24">
        <v>0.45</v>
      </c>
      <c r="N321" s="20">
        <v>103.854</v>
      </c>
    </row>
    <row r="322" spans="1:14" s="20" customFormat="1">
      <c r="A322" s="20">
        <v>15260</v>
      </c>
      <c r="B322" s="20" t="s">
        <v>256</v>
      </c>
      <c r="C322" s="21">
        <v>42338</v>
      </c>
      <c r="D322" s="22">
        <v>30</v>
      </c>
      <c r="E322" s="23">
        <v>0.52</v>
      </c>
      <c r="F322" s="24">
        <v>6.0709999999999997</v>
      </c>
      <c r="G322" s="24">
        <v>5.8979999999999997</v>
      </c>
      <c r="H322" s="24">
        <v>2581.6770000000001</v>
      </c>
      <c r="I322" s="24">
        <v>2812.81</v>
      </c>
      <c r="J322" s="24">
        <v>1.1100000000000001</v>
      </c>
      <c r="K322" s="24">
        <v>230.023</v>
      </c>
      <c r="L322" s="24">
        <v>0</v>
      </c>
      <c r="M322" s="24">
        <v>0.34699999999999998</v>
      </c>
      <c r="N322" s="20">
        <v>80.180999999999997</v>
      </c>
    </row>
    <row r="323" spans="1:14" s="20" customFormat="1">
      <c r="A323" s="20">
        <v>15247</v>
      </c>
      <c r="B323" s="20" t="s">
        <v>261</v>
      </c>
      <c r="C323" s="21">
        <v>42338</v>
      </c>
      <c r="D323" s="22">
        <v>30</v>
      </c>
      <c r="E323" s="23">
        <v>0.78700000000000003</v>
      </c>
      <c r="F323" s="24">
        <v>8.9550000000000001</v>
      </c>
      <c r="G323" s="24">
        <v>8.68</v>
      </c>
      <c r="H323" s="24">
        <v>3799.7179999999998</v>
      </c>
      <c r="I323" s="24">
        <v>4114.96</v>
      </c>
      <c r="J323" s="24">
        <v>1.63</v>
      </c>
      <c r="K323" s="24">
        <v>313.61200000000002</v>
      </c>
      <c r="L323" s="24">
        <v>0</v>
      </c>
      <c r="M323" s="24">
        <v>0.51200000000000001</v>
      </c>
      <c r="N323" s="20">
        <v>118.011</v>
      </c>
    </row>
    <row r="324" spans="1:14" s="20" customFormat="1">
      <c r="A324" s="20">
        <v>15248</v>
      </c>
      <c r="B324" s="20" t="s">
        <v>262</v>
      </c>
      <c r="C324" s="21">
        <v>42338</v>
      </c>
      <c r="D324" s="22">
        <v>30</v>
      </c>
      <c r="E324" s="23">
        <v>0.43099999999999999</v>
      </c>
      <c r="F324" s="24">
        <v>5.032</v>
      </c>
      <c r="G324" s="24">
        <v>4.8869999999999996</v>
      </c>
      <c r="H324" s="24">
        <v>2139.2489999999998</v>
      </c>
      <c r="I324" s="24">
        <v>2378.4499999999998</v>
      </c>
      <c r="J324" s="24">
        <v>0.92</v>
      </c>
      <c r="K324" s="24">
        <v>238.28100000000001</v>
      </c>
      <c r="L324" s="24">
        <v>0</v>
      </c>
      <c r="M324" s="24">
        <v>0.28599999999999998</v>
      </c>
      <c r="N324" s="20">
        <v>66.441000000000003</v>
      </c>
    </row>
    <row r="325" spans="1:14" s="20" customFormat="1">
      <c r="A325" s="20">
        <v>15262</v>
      </c>
      <c r="B325" s="20" t="s">
        <v>263</v>
      </c>
      <c r="C325" s="21">
        <v>42338</v>
      </c>
      <c r="D325" s="22">
        <v>30</v>
      </c>
      <c r="E325" s="23">
        <v>0.64</v>
      </c>
      <c r="F325" s="24">
        <v>7.5350000000000001</v>
      </c>
      <c r="G325" s="24">
        <v>7.327</v>
      </c>
      <c r="H325" s="24">
        <v>3208.06</v>
      </c>
      <c r="I325" s="24">
        <v>3467.87</v>
      </c>
      <c r="J325" s="24">
        <v>1.37</v>
      </c>
      <c r="K325" s="24">
        <v>258.44</v>
      </c>
      <c r="L325" s="24">
        <v>0</v>
      </c>
      <c r="M325" s="24">
        <v>0.432</v>
      </c>
      <c r="N325" s="20">
        <v>99.635000000000005</v>
      </c>
    </row>
    <row r="326" spans="1:14" s="20" customFormat="1">
      <c r="A326" s="20">
        <v>15263</v>
      </c>
      <c r="B326" s="20" t="s">
        <v>652</v>
      </c>
      <c r="C326" s="21">
        <v>42338</v>
      </c>
      <c r="D326" s="22">
        <v>30</v>
      </c>
      <c r="E326" s="23">
        <v>0.9</v>
      </c>
      <c r="F326" s="24">
        <v>10.616</v>
      </c>
      <c r="G326" s="24">
        <v>10.323</v>
      </c>
      <c r="H326" s="24">
        <v>4519.0829999999996</v>
      </c>
      <c r="I326" s="24">
        <v>5008.1099999999997</v>
      </c>
      <c r="J326" s="24">
        <v>1.94</v>
      </c>
      <c r="K326" s="24">
        <v>487.08699999999999</v>
      </c>
      <c r="L326" s="24">
        <v>0</v>
      </c>
      <c r="M326" s="24">
        <v>0.60699999999999998</v>
      </c>
      <c r="N326" s="20">
        <v>1.337</v>
      </c>
    </row>
    <row r="327" spans="1:14" s="20" customFormat="1">
      <c r="A327" s="20">
        <v>10652</v>
      </c>
      <c r="B327" s="20" t="s">
        <v>132</v>
      </c>
      <c r="C327" s="21">
        <v>42338</v>
      </c>
      <c r="D327" s="22">
        <v>30</v>
      </c>
      <c r="E327" s="23">
        <v>0.42899999999999999</v>
      </c>
      <c r="F327" s="24">
        <v>6.4160000000000004</v>
      </c>
      <c r="G327" s="24">
        <v>6.3940000000000001</v>
      </c>
      <c r="H327" s="24">
        <v>3348.585</v>
      </c>
      <c r="I327" s="24">
        <v>3713.75</v>
      </c>
      <c r="J327" s="24">
        <v>1.18</v>
      </c>
      <c r="K327" s="24">
        <v>363.98500000000001</v>
      </c>
      <c r="L327" s="24">
        <v>0</v>
      </c>
      <c r="M327" s="24">
        <v>0.40699999999999997</v>
      </c>
      <c r="N327" s="20">
        <v>69.209999999999994</v>
      </c>
    </row>
    <row r="328" spans="1:14" s="20" customFormat="1">
      <c r="A328" s="20">
        <v>15249</v>
      </c>
      <c r="B328" s="20" t="s">
        <v>264</v>
      </c>
      <c r="C328" s="21">
        <v>42338</v>
      </c>
      <c r="D328" s="22">
        <v>30</v>
      </c>
      <c r="E328" s="23">
        <v>0.64300000000000002</v>
      </c>
      <c r="F328" s="24">
        <v>7.5149999999999997</v>
      </c>
      <c r="G328" s="24">
        <v>7.3019999999999996</v>
      </c>
      <c r="H328" s="24">
        <v>3197.25</v>
      </c>
      <c r="I328" s="24">
        <v>3484.9</v>
      </c>
      <c r="J328" s="24">
        <v>1.37</v>
      </c>
      <c r="K328" s="24">
        <v>286.27999999999997</v>
      </c>
      <c r="L328" s="24">
        <v>0</v>
      </c>
      <c r="M328" s="24">
        <v>0.43</v>
      </c>
      <c r="N328" s="20">
        <v>99.3</v>
      </c>
    </row>
    <row r="329" spans="1:14" s="20" customFormat="1">
      <c r="A329" s="20">
        <v>10673</v>
      </c>
      <c r="B329" s="20" t="s">
        <v>133</v>
      </c>
      <c r="C329" s="21">
        <v>42338</v>
      </c>
      <c r="D329" s="22">
        <v>30</v>
      </c>
      <c r="E329" s="23">
        <v>0.18099999999999999</v>
      </c>
      <c r="F329" s="24">
        <v>3.125</v>
      </c>
      <c r="G329" s="24">
        <v>3.141</v>
      </c>
      <c r="H329" s="24">
        <v>1644.6859999999999</v>
      </c>
      <c r="I329" s="24">
        <v>1931.95</v>
      </c>
      <c r="J329" s="24">
        <v>0.57999999999999996</v>
      </c>
      <c r="K329" s="24">
        <v>286.68400000000003</v>
      </c>
      <c r="L329" s="24">
        <v>0</v>
      </c>
      <c r="M329" s="24">
        <v>0.19700000000000001</v>
      </c>
      <c r="N329" s="20">
        <v>33.991999999999997</v>
      </c>
    </row>
    <row r="330" spans="1:14" s="20" customFormat="1">
      <c r="A330" s="20">
        <v>15261</v>
      </c>
      <c r="B330" s="20" t="s">
        <v>265</v>
      </c>
      <c r="C330" s="21">
        <v>42338</v>
      </c>
      <c r="D330" s="22">
        <v>30</v>
      </c>
      <c r="E330" s="23">
        <v>0.32500000000000001</v>
      </c>
      <c r="F330" s="24">
        <v>3.8460000000000001</v>
      </c>
      <c r="G330" s="24">
        <v>3.7389999999999999</v>
      </c>
      <c r="H330" s="24">
        <v>1637.511</v>
      </c>
      <c r="I330" s="24">
        <v>1825.4</v>
      </c>
      <c r="J330" s="24">
        <v>0.7</v>
      </c>
      <c r="K330" s="24">
        <v>187.18899999999999</v>
      </c>
      <c r="L330" s="24">
        <v>0</v>
      </c>
      <c r="M330" s="24">
        <v>0.218</v>
      </c>
      <c r="N330" s="20">
        <v>50.857999999999997</v>
      </c>
    </row>
    <row r="331" spans="1:14" s="20" customFormat="1">
      <c r="A331" s="20">
        <v>15252</v>
      </c>
      <c r="B331" s="20" t="s">
        <v>1027</v>
      </c>
      <c r="C331" s="21">
        <v>42338</v>
      </c>
      <c r="D331" s="22">
        <v>30</v>
      </c>
      <c r="E331" s="23">
        <v>0.58899999999999997</v>
      </c>
      <c r="F331" s="24">
        <v>6.702</v>
      </c>
      <c r="G331" s="24">
        <v>6.4960000000000004</v>
      </c>
      <c r="H331" s="24">
        <v>2844.0729999999999</v>
      </c>
      <c r="I331" s="24">
        <v>3115.55</v>
      </c>
      <c r="J331" s="24">
        <v>1.22</v>
      </c>
      <c r="K331" s="24">
        <v>270.25700000000001</v>
      </c>
      <c r="L331" s="24">
        <v>0</v>
      </c>
      <c r="M331" s="24">
        <v>0.38300000000000001</v>
      </c>
      <c r="N331" s="20">
        <v>88.33</v>
      </c>
    </row>
    <row r="332" spans="1:14" s="20" customFormat="1">
      <c r="A332" s="20">
        <v>10674</v>
      </c>
      <c r="B332" s="20" t="s">
        <v>134</v>
      </c>
      <c r="C332" s="21">
        <v>42338</v>
      </c>
      <c r="D332" s="22">
        <v>30</v>
      </c>
      <c r="E332" s="23">
        <v>0.59</v>
      </c>
      <c r="F332" s="24">
        <v>9.0429999999999993</v>
      </c>
      <c r="G332" s="24">
        <v>9.0259999999999998</v>
      </c>
      <c r="H332" s="24">
        <v>4726.57</v>
      </c>
      <c r="I332" s="24">
        <v>5154.74</v>
      </c>
      <c r="J332" s="24">
        <v>1.67</v>
      </c>
      <c r="K332" s="24">
        <v>426.5</v>
      </c>
      <c r="L332" s="24">
        <v>0</v>
      </c>
      <c r="M332" s="24">
        <v>0.57299999999999995</v>
      </c>
      <c r="N332" s="20">
        <v>97.69</v>
      </c>
    </row>
    <row r="333" spans="1:14" s="20" customFormat="1">
      <c r="A333" s="20">
        <v>18060</v>
      </c>
      <c r="B333" s="20" t="s">
        <v>752</v>
      </c>
      <c r="C333" s="21">
        <v>42338</v>
      </c>
      <c r="D333" s="22">
        <v>30</v>
      </c>
      <c r="E333" s="23">
        <v>0.28199999999999997</v>
      </c>
      <c r="F333" s="24">
        <v>6.3959999999999999</v>
      </c>
      <c r="G333" s="24">
        <v>6.4589999999999996</v>
      </c>
      <c r="H333" s="24">
        <v>2141.2579999999998</v>
      </c>
      <c r="I333" s="24">
        <v>2451.71</v>
      </c>
      <c r="J333" s="24">
        <v>1.24</v>
      </c>
      <c r="K333" s="24">
        <v>309.21199999999999</v>
      </c>
      <c r="L333" s="24">
        <v>0</v>
      </c>
      <c r="M333" s="24">
        <v>0.34499999999999997</v>
      </c>
      <c r="N333" s="20">
        <v>46.203000000000003</v>
      </c>
    </row>
    <row r="334" spans="1:14" s="20" customFormat="1">
      <c r="A334" s="20">
        <v>13035</v>
      </c>
      <c r="B334" s="20" t="s">
        <v>135</v>
      </c>
      <c r="C334" s="21">
        <v>42338</v>
      </c>
      <c r="D334" s="22">
        <v>30</v>
      </c>
      <c r="E334" s="23">
        <v>0.182</v>
      </c>
      <c r="F334" s="24">
        <v>1.363</v>
      </c>
      <c r="G334" s="24">
        <v>1.3540000000000001</v>
      </c>
      <c r="H334" s="24">
        <v>2348.1709999999998</v>
      </c>
      <c r="I334" s="24">
        <v>2547.5500000000002</v>
      </c>
      <c r="J334" s="24">
        <v>0.19</v>
      </c>
      <c r="K334" s="24">
        <v>199.18899999999999</v>
      </c>
      <c r="L334" s="24">
        <v>0</v>
      </c>
      <c r="M334" s="24">
        <v>0.17299999999999999</v>
      </c>
      <c r="N334" s="20">
        <v>24.376999999999999</v>
      </c>
    </row>
    <row r="335" spans="1:14" s="20" customFormat="1">
      <c r="A335" s="20">
        <v>13036</v>
      </c>
      <c r="B335" s="20" t="s">
        <v>136</v>
      </c>
      <c r="C335" s="21">
        <v>42338</v>
      </c>
      <c r="D335" s="22">
        <v>30</v>
      </c>
      <c r="E335" s="23">
        <v>0.17299999999999999</v>
      </c>
      <c r="F335" s="24">
        <v>1.268</v>
      </c>
      <c r="G335" s="24">
        <v>1.256</v>
      </c>
      <c r="H335" s="24">
        <v>2178.2779999999998</v>
      </c>
      <c r="I335" s="24">
        <v>2361.85</v>
      </c>
      <c r="J335" s="24">
        <v>0.18</v>
      </c>
      <c r="K335" s="24">
        <v>183.392</v>
      </c>
      <c r="L335" s="24">
        <v>0</v>
      </c>
      <c r="M335" s="24">
        <v>0.161</v>
      </c>
      <c r="N335" s="20">
        <v>22.613</v>
      </c>
    </row>
    <row r="336" spans="1:14" s="20" customFormat="1">
      <c r="A336" s="20">
        <v>13034</v>
      </c>
      <c r="B336" s="20" t="s">
        <v>137</v>
      </c>
      <c r="C336" s="21">
        <v>42338</v>
      </c>
      <c r="D336" s="22">
        <v>30</v>
      </c>
      <c r="E336" s="23">
        <v>0.16500000000000001</v>
      </c>
      <c r="F336" s="24">
        <v>1.22</v>
      </c>
      <c r="G336" s="24">
        <v>1.2090000000000001</v>
      </c>
      <c r="H336" s="24">
        <v>2096.8710000000001</v>
      </c>
      <c r="I336" s="24">
        <v>2276.7399999999998</v>
      </c>
      <c r="J336" s="24">
        <v>0.17</v>
      </c>
      <c r="K336" s="24">
        <v>179.69900000000001</v>
      </c>
      <c r="L336" s="24">
        <v>0</v>
      </c>
      <c r="M336" s="24">
        <v>0.154</v>
      </c>
      <c r="N336" s="20">
        <v>21.766999999999999</v>
      </c>
    </row>
    <row r="337" spans="1:14" s="20" customFormat="1">
      <c r="A337" s="20">
        <v>18061</v>
      </c>
      <c r="B337" s="20" t="s">
        <v>733</v>
      </c>
      <c r="C337" s="21">
        <v>42338</v>
      </c>
      <c r="D337" s="22">
        <v>30</v>
      </c>
      <c r="E337" s="23">
        <v>0.33400000000000002</v>
      </c>
      <c r="F337" s="24">
        <v>7.9390000000000001</v>
      </c>
      <c r="G337" s="24">
        <v>8.032</v>
      </c>
      <c r="H337" s="24">
        <v>2662.9879999999998</v>
      </c>
      <c r="I337" s="24">
        <v>2997.41</v>
      </c>
      <c r="J337" s="24">
        <v>1.54</v>
      </c>
      <c r="K337" s="24">
        <v>332.88200000000001</v>
      </c>
      <c r="L337" s="24">
        <v>0</v>
      </c>
      <c r="M337" s="24">
        <v>0.42699999999999999</v>
      </c>
      <c r="N337" s="20">
        <v>57.46</v>
      </c>
    </row>
    <row r="338" spans="1:14" s="20" customFormat="1">
      <c r="A338" s="20">
        <v>17051</v>
      </c>
      <c r="B338" s="20" t="s">
        <v>753</v>
      </c>
      <c r="C338" s="21">
        <v>42338</v>
      </c>
      <c r="D338" s="22">
        <v>30</v>
      </c>
      <c r="E338" s="23">
        <v>0.374</v>
      </c>
      <c r="F338" s="24">
        <v>8.93</v>
      </c>
      <c r="G338" s="24">
        <v>9.0350000000000001</v>
      </c>
      <c r="H338" s="24">
        <v>2995.79</v>
      </c>
      <c r="I338" s="24">
        <v>3345.5</v>
      </c>
      <c r="J338" s="24">
        <v>1.73</v>
      </c>
      <c r="K338" s="24">
        <v>347.98</v>
      </c>
      <c r="L338" s="24">
        <v>0</v>
      </c>
      <c r="M338" s="24">
        <v>0.47899999999999998</v>
      </c>
      <c r="N338" s="20">
        <v>64.641999999999996</v>
      </c>
    </row>
    <row r="339" spans="1:14" s="20" customFormat="1">
      <c r="A339" s="20">
        <v>15315</v>
      </c>
      <c r="B339" s="20" t="s">
        <v>266</v>
      </c>
      <c r="C339" s="21">
        <v>42338</v>
      </c>
      <c r="D339" s="22">
        <v>30</v>
      </c>
      <c r="E339" s="23">
        <v>0.47499999999999998</v>
      </c>
      <c r="F339" s="24">
        <v>5.5519999999999996</v>
      </c>
      <c r="G339" s="24">
        <v>5.3929999999999998</v>
      </c>
      <c r="H339" s="24">
        <v>2361.181</v>
      </c>
      <c r="I339" s="24">
        <v>2582.21</v>
      </c>
      <c r="J339" s="24">
        <v>1.01</v>
      </c>
      <c r="K339" s="24">
        <v>220.01900000000001</v>
      </c>
      <c r="L339" s="24">
        <v>0</v>
      </c>
      <c r="M339" s="24">
        <v>0.316</v>
      </c>
      <c r="N339" s="20">
        <v>73.334000000000003</v>
      </c>
    </row>
    <row r="340" spans="1:14" s="20" customFormat="1">
      <c r="A340" s="20">
        <v>15253</v>
      </c>
      <c r="B340" s="20" t="s">
        <v>267</v>
      </c>
      <c r="C340" s="21">
        <v>42338</v>
      </c>
      <c r="D340" s="22">
        <v>30</v>
      </c>
      <c r="E340" s="23">
        <v>0.56899999999999995</v>
      </c>
      <c r="F340" s="24">
        <v>6.2859999999999996</v>
      </c>
      <c r="G340" s="24">
        <v>6.077</v>
      </c>
      <c r="H340" s="24">
        <v>2660.788</v>
      </c>
      <c r="I340" s="24">
        <v>2895.54</v>
      </c>
      <c r="J340" s="24">
        <v>1.1399999999999999</v>
      </c>
      <c r="K340" s="24">
        <v>233.61199999999999</v>
      </c>
      <c r="L340" s="24">
        <v>0</v>
      </c>
      <c r="M340" s="24">
        <v>0.36</v>
      </c>
      <c r="N340" s="20">
        <v>82.638000000000005</v>
      </c>
    </row>
    <row r="341" spans="1:14" s="20" customFormat="1">
      <c r="A341" s="20">
        <v>15242</v>
      </c>
      <c r="B341" s="20" t="s">
        <v>268</v>
      </c>
      <c r="C341" s="21">
        <v>42338</v>
      </c>
      <c r="D341" s="22">
        <v>0</v>
      </c>
      <c r="E341" s="23">
        <v>0</v>
      </c>
      <c r="F341" s="24">
        <v>0</v>
      </c>
      <c r="G341" s="24">
        <v>0</v>
      </c>
      <c r="H341" s="24">
        <v>0</v>
      </c>
      <c r="I341" s="24">
        <v>0</v>
      </c>
      <c r="J341" s="24">
        <v>0</v>
      </c>
      <c r="K341" s="24">
        <v>0</v>
      </c>
      <c r="L341" s="24">
        <v>0</v>
      </c>
      <c r="M341" s="24">
        <v>0</v>
      </c>
      <c r="N341" s="20">
        <v>0</v>
      </c>
    </row>
    <row r="342" spans="1:14" s="20" customFormat="1">
      <c r="A342" s="20">
        <v>15250</v>
      </c>
      <c r="B342" s="20" t="s">
        <v>269</v>
      </c>
      <c r="C342" s="21">
        <v>42338</v>
      </c>
      <c r="D342" s="22">
        <v>30</v>
      </c>
      <c r="E342" s="23">
        <v>0.55600000000000005</v>
      </c>
      <c r="F342" s="24">
        <v>6.4580000000000002</v>
      </c>
      <c r="G342" s="24">
        <v>6.2709999999999999</v>
      </c>
      <c r="H342" s="24">
        <v>2745.9259999999999</v>
      </c>
      <c r="I342" s="24">
        <v>3012.91</v>
      </c>
      <c r="J342" s="24">
        <v>1.18</v>
      </c>
      <c r="K342" s="24">
        <v>265.80399999999997</v>
      </c>
      <c r="L342" s="24">
        <v>0</v>
      </c>
      <c r="M342" s="24">
        <v>0.36899999999999999</v>
      </c>
      <c r="N342" s="20">
        <v>85.283000000000001</v>
      </c>
    </row>
    <row r="343" spans="1:14" s="20" customFormat="1">
      <c r="A343" s="20">
        <v>15399</v>
      </c>
      <c r="B343" s="20" t="s">
        <v>270</v>
      </c>
      <c r="C343" s="21">
        <v>42338</v>
      </c>
      <c r="D343" s="22">
        <v>30</v>
      </c>
      <c r="E343" s="23">
        <v>0.65</v>
      </c>
      <c r="F343" s="24">
        <v>7.4820000000000002</v>
      </c>
      <c r="G343" s="24">
        <v>7.26</v>
      </c>
      <c r="H343" s="24">
        <v>3178.5010000000002</v>
      </c>
      <c r="I343" s="24">
        <v>3465.29</v>
      </c>
      <c r="J343" s="24">
        <v>1.36</v>
      </c>
      <c r="K343" s="24">
        <v>285.42899999999997</v>
      </c>
      <c r="L343" s="24">
        <v>0</v>
      </c>
      <c r="M343" s="24">
        <v>0.42799999999999999</v>
      </c>
      <c r="N343" s="20">
        <v>98.716999999999999</v>
      </c>
    </row>
    <row r="344" spans="1:14" s="20" customFormat="1">
      <c r="A344" s="20">
        <v>15314</v>
      </c>
      <c r="B344" s="20" t="s">
        <v>271</v>
      </c>
      <c r="C344" s="21">
        <v>42338</v>
      </c>
      <c r="D344" s="22">
        <v>30</v>
      </c>
      <c r="E344" s="23">
        <v>0.60199999999999998</v>
      </c>
      <c r="F344" s="24">
        <v>6.9029999999999996</v>
      </c>
      <c r="G344" s="24">
        <v>6.6959999999999997</v>
      </c>
      <c r="H344" s="24">
        <v>2931.3150000000001</v>
      </c>
      <c r="I344" s="24">
        <v>3206.79</v>
      </c>
      <c r="J344" s="24">
        <v>1.26</v>
      </c>
      <c r="K344" s="24">
        <v>274.21499999999997</v>
      </c>
      <c r="L344" s="24">
        <v>0</v>
      </c>
      <c r="M344" s="24">
        <v>0.39500000000000002</v>
      </c>
      <c r="N344" s="20">
        <v>91.04</v>
      </c>
    </row>
    <row r="345" spans="1:14" s="20" customFormat="1">
      <c r="A345" s="20">
        <v>15251</v>
      </c>
      <c r="B345" s="20" t="s">
        <v>1034</v>
      </c>
      <c r="C345" s="21">
        <v>42338</v>
      </c>
      <c r="D345" s="22">
        <v>30</v>
      </c>
      <c r="E345" s="23">
        <v>0.57899999999999996</v>
      </c>
      <c r="F345" s="24">
        <v>6.59</v>
      </c>
      <c r="G345" s="24">
        <v>6.3879999999999999</v>
      </c>
      <c r="H345" s="24">
        <v>2796.53</v>
      </c>
      <c r="I345" s="24">
        <v>3065.83</v>
      </c>
      <c r="J345" s="24">
        <v>1.2</v>
      </c>
      <c r="K345" s="24">
        <v>268.10000000000002</v>
      </c>
      <c r="L345" s="24">
        <v>0</v>
      </c>
      <c r="M345" s="24">
        <v>0.377</v>
      </c>
      <c r="N345" s="20">
        <v>86.855000000000004</v>
      </c>
    </row>
    <row r="346" spans="1:14" s="20" customFormat="1">
      <c r="A346" s="20">
        <v>15313</v>
      </c>
      <c r="B346" s="20" t="s">
        <v>272</v>
      </c>
      <c r="C346" s="21">
        <v>42338</v>
      </c>
      <c r="D346" s="22">
        <v>30</v>
      </c>
      <c r="E346" s="23">
        <v>0.39400000000000002</v>
      </c>
      <c r="F346" s="24">
        <v>4.4400000000000004</v>
      </c>
      <c r="G346" s="24">
        <v>4.2990000000000004</v>
      </c>
      <c r="H346" s="24">
        <v>1882.21</v>
      </c>
      <c r="I346" s="24">
        <v>2109.64</v>
      </c>
      <c r="J346" s="24">
        <v>0.81</v>
      </c>
      <c r="K346" s="24">
        <v>226.62</v>
      </c>
      <c r="L346" s="24">
        <v>0</v>
      </c>
      <c r="M346" s="24">
        <v>0.253</v>
      </c>
      <c r="N346" s="20">
        <v>58.457999999999998</v>
      </c>
    </row>
    <row r="347" spans="1:14" s="20" customFormat="1">
      <c r="A347" s="20">
        <v>13037</v>
      </c>
      <c r="B347" s="20" t="s">
        <v>138</v>
      </c>
      <c r="C347" s="21">
        <v>42338</v>
      </c>
      <c r="D347" s="22">
        <v>30</v>
      </c>
      <c r="E347" s="23">
        <v>0.17599999999999999</v>
      </c>
      <c r="F347" s="24">
        <v>1.2549999999999999</v>
      </c>
      <c r="G347" s="24">
        <v>1.238</v>
      </c>
      <c r="H347" s="24">
        <v>2144.6060000000002</v>
      </c>
      <c r="I347" s="24">
        <v>2326.65</v>
      </c>
      <c r="J347" s="24">
        <v>0.18</v>
      </c>
      <c r="K347" s="24">
        <v>181.864</v>
      </c>
      <c r="L347" s="24">
        <v>0</v>
      </c>
      <c r="M347" s="24">
        <v>0.159</v>
      </c>
      <c r="N347" s="20">
        <v>22.263000000000002</v>
      </c>
    </row>
    <row r="348" spans="1:14" s="20" customFormat="1">
      <c r="A348" s="20">
        <v>10663</v>
      </c>
      <c r="B348" s="20" t="s">
        <v>139</v>
      </c>
      <c r="C348" s="21">
        <v>42338</v>
      </c>
      <c r="D348" s="22">
        <v>30</v>
      </c>
      <c r="E348" s="23">
        <v>0.45300000000000001</v>
      </c>
      <c r="F348" s="24">
        <v>7.0179999999999998</v>
      </c>
      <c r="G348" s="24">
        <v>7.0090000000000003</v>
      </c>
      <c r="H348" s="24">
        <v>3670.29</v>
      </c>
      <c r="I348" s="24">
        <v>4050.16</v>
      </c>
      <c r="J348" s="24">
        <v>1.29</v>
      </c>
      <c r="K348" s="24">
        <v>378.58</v>
      </c>
      <c r="L348" s="24">
        <v>0</v>
      </c>
      <c r="M348" s="24">
        <v>0.44400000000000001</v>
      </c>
      <c r="N348" s="20">
        <v>75.858999999999995</v>
      </c>
    </row>
    <row r="349" spans="1:14" s="20" customFormat="1">
      <c r="A349" s="20">
        <v>12833</v>
      </c>
      <c r="B349" s="20" t="s">
        <v>140</v>
      </c>
      <c r="C349" s="21">
        <v>42338</v>
      </c>
      <c r="D349" s="22">
        <v>30</v>
      </c>
      <c r="E349" s="23">
        <v>0.17199999999999999</v>
      </c>
      <c r="F349" s="24">
        <v>1.2569999999999999</v>
      </c>
      <c r="G349" s="24">
        <v>1.242</v>
      </c>
      <c r="H349" s="24">
        <v>2153.0239999999999</v>
      </c>
      <c r="I349" s="24">
        <v>2335.4499999999998</v>
      </c>
      <c r="J349" s="24">
        <v>0.18</v>
      </c>
      <c r="K349" s="24">
        <v>182.24600000000001</v>
      </c>
      <c r="L349" s="24">
        <v>0</v>
      </c>
      <c r="M349" s="24">
        <v>0.157</v>
      </c>
      <c r="N349" s="20">
        <v>22.350999999999999</v>
      </c>
    </row>
    <row r="350" spans="1:14" s="20" customFormat="1">
      <c r="A350" s="20">
        <v>10677</v>
      </c>
      <c r="B350" s="20" t="s">
        <v>141</v>
      </c>
      <c r="C350" s="21">
        <v>42338</v>
      </c>
      <c r="D350" s="22">
        <v>30</v>
      </c>
      <c r="E350" s="23">
        <v>0.46600000000000003</v>
      </c>
      <c r="F350" s="24">
        <v>7.0659999999999998</v>
      </c>
      <c r="G350" s="24">
        <v>7.048</v>
      </c>
      <c r="H350" s="24">
        <v>3691.1439999999998</v>
      </c>
      <c r="I350" s="24">
        <v>4071.97</v>
      </c>
      <c r="J350" s="24">
        <v>1.3</v>
      </c>
      <c r="K350" s="24">
        <v>379.52600000000001</v>
      </c>
      <c r="L350" s="24">
        <v>0</v>
      </c>
      <c r="M350" s="24">
        <v>0.44800000000000001</v>
      </c>
      <c r="N350" s="20">
        <v>76.289000000000001</v>
      </c>
    </row>
    <row r="351" spans="1:14" s="20" customFormat="1">
      <c r="A351" s="20">
        <v>13031</v>
      </c>
      <c r="B351" s="20" t="s">
        <v>142</v>
      </c>
      <c r="C351" s="21">
        <v>42338</v>
      </c>
      <c r="D351" s="22">
        <v>30</v>
      </c>
      <c r="E351" s="23">
        <v>0.22</v>
      </c>
      <c r="F351" s="24">
        <v>1.669</v>
      </c>
      <c r="G351" s="24">
        <v>1.661</v>
      </c>
      <c r="H351" s="24">
        <v>2880.52</v>
      </c>
      <c r="I351" s="24">
        <v>3096.01</v>
      </c>
      <c r="J351" s="24">
        <v>0.24</v>
      </c>
      <c r="K351" s="24">
        <v>215.25</v>
      </c>
      <c r="L351" s="24">
        <v>0</v>
      </c>
      <c r="M351" s="24">
        <v>0.21199999999999999</v>
      </c>
      <c r="N351" s="20">
        <v>29.902000000000001</v>
      </c>
    </row>
    <row r="352" spans="1:14" s="20" customFormat="1">
      <c r="A352" s="20">
        <v>12834</v>
      </c>
      <c r="B352" s="20" t="s">
        <v>143</v>
      </c>
      <c r="C352" s="21">
        <v>42338</v>
      </c>
      <c r="D352" s="22">
        <v>30</v>
      </c>
      <c r="E352" s="23">
        <v>0.185</v>
      </c>
      <c r="F352" s="24">
        <v>1.339</v>
      </c>
      <c r="G352" s="24">
        <v>1.325</v>
      </c>
      <c r="H352" s="24">
        <v>2297.8530000000001</v>
      </c>
      <c r="I352" s="24">
        <v>2486.86</v>
      </c>
      <c r="J352" s="24">
        <v>0.19</v>
      </c>
      <c r="K352" s="24">
        <v>188.81700000000001</v>
      </c>
      <c r="L352" s="24">
        <v>0</v>
      </c>
      <c r="M352" s="24">
        <v>0.17100000000000001</v>
      </c>
      <c r="N352" s="20">
        <v>23.853999999999999</v>
      </c>
    </row>
    <row r="353" spans="1:14" s="20" customFormat="1">
      <c r="A353" s="20">
        <v>13040</v>
      </c>
      <c r="B353" s="20" t="s">
        <v>144</v>
      </c>
      <c r="C353" s="21">
        <v>42338</v>
      </c>
      <c r="D353" s="22">
        <v>30</v>
      </c>
      <c r="E353" s="23">
        <v>0.184</v>
      </c>
      <c r="F353" s="24">
        <v>1.3149999999999999</v>
      </c>
      <c r="G353" s="24">
        <v>1.298</v>
      </c>
      <c r="H353" s="24">
        <v>2250.4059999999999</v>
      </c>
      <c r="I353" s="24">
        <v>2437.25</v>
      </c>
      <c r="J353" s="24">
        <v>0.18</v>
      </c>
      <c r="K353" s="24">
        <v>186.66399999999999</v>
      </c>
      <c r="L353" s="24">
        <v>0</v>
      </c>
      <c r="M353" s="24">
        <v>0.16700000000000001</v>
      </c>
      <c r="N353" s="20">
        <v>23.361000000000001</v>
      </c>
    </row>
    <row r="354" spans="1:14" s="20" customFormat="1">
      <c r="A354" s="20">
        <v>13038</v>
      </c>
      <c r="B354" s="20" t="s">
        <v>145</v>
      </c>
      <c r="C354" s="21">
        <v>42338</v>
      </c>
      <c r="D354" s="22">
        <v>30</v>
      </c>
      <c r="E354" s="23">
        <v>0.22900000000000001</v>
      </c>
      <c r="F354" s="24">
        <v>1.6779999999999999</v>
      </c>
      <c r="G354" s="24">
        <v>1.661</v>
      </c>
      <c r="H354" s="24">
        <v>2877.8409999999999</v>
      </c>
      <c r="I354" s="24">
        <v>3093.2</v>
      </c>
      <c r="J354" s="24">
        <v>0.23</v>
      </c>
      <c r="K354" s="24">
        <v>215.12899999999999</v>
      </c>
      <c r="L354" s="24">
        <v>0</v>
      </c>
      <c r="M354" s="24">
        <v>0.21199999999999999</v>
      </c>
      <c r="N354" s="20">
        <v>29.875</v>
      </c>
    </row>
    <row r="355" spans="1:14" s="20" customFormat="1">
      <c r="A355" s="20">
        <v>13029</v>
      </c>
      <c r="B355" s="20" t="s">
        <v>146</v>
      </c>
      <c r="C355" s="21">
        <v>42338</v>
      </c>
      <c r="D355" s="22">
        <v>30</v>
      </c>
      <c r="E355" s="23">
        <v>0.30099999999999999</v>
      </c>
      <c r="F355" s="24">
        <v>2.1680000000000001</v>
      </c>
      <c r="G355" s="24">
        <v>2.141</v>
      </c>
      <c r="H355" s="24">
        <v>3712.7629999999999</v>
      </c>
      <c r="I355" s="24">
        <v>3966.07</v>
      </c>
      <c r="J355" s="24">
        <v>0.3</v>
      </c>
      <c r="K355" s="24">
        <v>253.00700000000001</v>
      </c>
      <c r="L355" s="24">
        <v>0</v>
      </c>
      <c r="M355" s="24">
        <v>0.27400000000000002</v>
      </c>
      <c r="N355" s="20">
        <v>38.542999999999999</v>
      </c>
    </row>
    <row r="356" spans="1:14" s="20" customFormat="1">
      <c r="A356" s="20">
        <v>13032</v>
      </c>
      <c r="B356" s="20" t="s">
        <v>147</v>
      </c>
      <c r="C356" s="21">
        <v>42338</v>
      </c>
      <c r="D356" s="22">
        <v>30</v>
      </c>
      <c r="E356" s="23">
        <v>0.185</v>
      </c>
      <c r="F356" s="24">
        <v>1.3480000000000001</v>
      </c>
      <c r="G356" s="24">
        <v>1.3340000000000001</v>
      </c>
      <c r="H356" s="24">
        <v>2312.489</v>
      </c>
      <c r="I356" s="24">
        <v>2502.16</v>
      </c>
      <c r="J356" s="24">
        <v>0.19</v>
      </c>
      <c r="K356" s="24">
        <v>189.48099999999999</v>
      </c>
      <c r="L356" s="24">
        <v>0</v>
      </c>
      <c r="M356" s="24">
        <v>0.17100000000000001</v>
      </c>
      <c r="N356" s="20">
        <v>24.006</v>
      </c>
    </row>
    <row r="357" spans="1:14" s="20" customFormat="1">
      <c r="A357" s="20">
        <v>13039</v>
      </c>
      <c r="B357" s="20" t="s">
        <v>148</v>
      </c>
      <c r="C357" s="21">
        <v>42338</v>
      </c>
      <c r="D357" s="22">
        <v>30</v>
      </c>
      <c r="E357" s="23">
        <v>0.26600000000000001</v>
      </c>
      <c r="F357" s="24">
        <v>1.929</v>
      </c>
      <c r="G357" s="24">
        <v>1.907</v>
      </c>
      <c r="H357" s="24">
        <v>3307.9290000000001</v>
      </c>
      <c r="I357" s="24">
        <v>3542.84</v>
      </c>
      <c r="J357" s="24">
        <v>0.27</v>
      </c>
      <c r="K357" s="24">
        <v>234.64099999999999</v>
      </c>
      <c r="L357" s="24">
        <v>0</v>
      </c>
      <c r="M357" s="24">
        <v>0.24399999999999999</v>
      </c>
      <c r="N357" s="20">
        <v>34.340000000000003</v>
      </c>
    </row>
    <row r="358" spans="1:14" s="20" customFormat="1">
      <c r="A358" s="20">
        <v>11894</v>
      </c>
      <c r="B358" s="20" t="s">
        <v>149</v>
      </c>
      <c r="C358" s="21">
        <v>42338</v>
      </c>
      <c r="D358" s="22">
        <v>30</v>
      </c>
      <c r="E358" s="23">
        <v>1.258</v>
      </c>
      <c r="F358" s="24">
        <v>4.806</v>
      </c>
      <c r="G358" s="24">
        <v>3.8690000000000002</v>
      </c>
      <c r="H358" s="24">
        <v>3441.9490000000001</v>
      </c>
      <c r="I358" s="24">
        <v>3810.83</v>
      </c>
      <c r="J358" s="24">
        <v>0.66</v>
      </c>
      <c r="K358" s="24">
        <v>368.221</v>
      </c>
      <c r="L358" s="24">
        <v>0</v>
      </c>
      <c r="M358" s="24">
        <v>0.32100000000000001</v>
      </c>
      <c r="N358" s="20">
        <v>45.795999999999999</v>
      </c>
    </row>
    <row r="359" spans="1:14" s="20" customFormat="1">
      <c r="A359" s="20">
        <v>13033</v>
      </c>
      <c r="B359" s="20" t="s">
        <v>150</v>
      </c>
      <c r="C359" s="21">
        <v>42338</v>
      </c>
      <c r="D359" s="22">
        <v>30</v>
      </c>
      <c r="E359" s="23">
        <v>0.40899999999999997</v>
      </c>
      <c r="F359" s="24">
        <v>2.9670000000000001</v>
      </c>
      <c r="G359" s="24">
        <v>2.9329999999999998</v>
      </c>
      <c r="H359" s="24">
        <v>5085.4870000000001</v>
      </c>
      <c r="I359" s="24">
        <v>5401.77</v>
      </c>
      <c r="J359" s="24">
        <v>0.42</v>
      </c>
      <c r="K359" s="24">
        <v>315.863</v>
      </c>
      <c r="L359" s="24">
        <v>0</v>
      </c>
      <c r="M359" s="24">
        <v>0.375</v>
      </c>
      <c r="N359" s="20">
        <v>52.790999999999997</v>
      </c>
    </row>
    <row r="360" spans="1:14" s="20" customFormat="1">
      <c r="A360" s="20">
        <v>13030</v>
      </c>
      <c r="B360" s="20" t="s">
        <v>151</v>
      </c>
      <c r="C360" s="21">
        <v>42338</v>
      </c>
      <c r="D360" s="22">
        <v>29</v>
      </c>
      <c r="E360" s="23">
        <v>0.20100000000000001</v>
      </c>
      <c r="F360" s="24">
        <v>1.421</v>
      </c>
      <c r="G360" s="24">
        <v>1.401</v>
      </c>
      <c r="H360" s="24">
        <v>2428.3339999999998</v>
      </c>
      <c r="I360" s="24">
        <v>2623.27</v>
      </c>
      <c r="J360" s="24">
        <v>0.2</v>
      </c>
      <c r="K360" s="24">
        <v>194.73599999999999</v>
      </c>
      <c r="L360" s="24">
        <v>0</v>
      </c>
      <c r="M360" s="24">
        <v>0.18099999999999999</v>
      </c>
      <c r="N360" s="20">
        <v>25.207999999999998</v>
      </c>
    </row>
    <row r="361" spans="1:14" s="20" customFormat="1">
      <c r="A361" s="20">
        <v>11547</v>
      </c>
      <c r="B361" s="20" t="s">
        <v>152</v>
      </c>
      <c r="C361" s="21">
        <v>42338</v>
      </c>
      <c r="D361" s="22">
        <v>30</v>
      </c>
      <c r="E361" s="23">
        <v>1.1379999999999999</v>
      </c>
      <c r="F361" s="24">
        <v>4.3440000000000003</v>
      </c>
      <c r="G361" s="24">
        <v>3.496</v>
      </c>
      <c r="H361" s="24">
        <v>3110.8690000000001</v>
      </c>
      <c r="I361" s="24">
        <v>3534.67</v>
      </c>
      <c r="J361" s="24">
        <v>0.6</v>
      </c>
      <c r="K361" s="24">
        <v>423.20100000000002</v>
      </c>
      <c r="L361" s="24">
        <v>0</v>
      </c>
      <c r="M361" s="24">
        <v>0.28999999999999998</v>
      </c>
      <c r="N361" s="20">
        <v>41.392000000000003</v>
      </c>
    </row>
    <row r="362" spans="1:14" s="20" customFormat="1">
      <c r="A362" s="20">
        <v>10477</v>
      </c>
      <c r="B362" s="20" t="s">
        <v>153</v>
      </c>
      <c r="C362" s="21">
        <v>42338</v>
      </c>
      <c r="D362" s="22">
        <v>30</v>
      </c>
      <c r="E362" s="23">
        <v>1.1419999999999999</v>
      </c>
      <c r="F362" s="24">
        <v>4.3390000000000004</v>
      </c>
      <c r="G362" s="24">
        <v>3.4860000000000002</v>
      </c>
      <c r="H362" s="24">
        <v>3100.8249999999998</v>
      </c>
      <c r="I362" s="24">
        <v>3454.17</v>
      </c>
      <c r="J362" s="24">
        <v>0.6</v>
      </c>
      <c r="K362" s="24">
        <v>352.745</v>
      </c>
      <c r="L362" s="24">
        <v>0</v>
      </c>
      <c r="M362" s="24">
        <v>0.28899999999999998</v>
      </c>
      <c r="N362" s="20">
        <v>41.256999999999998</v>
      </c>
    </row>
    <row r="363" spans="1:14" s="20" customFormat="1">
      <c r="A363" s="20">
        <v>10684</v>
      </c>
      <c r="B363" s="20" t="s">
        <v>154</v>
      </c>
      <c r="C363" s="21">
        <v>42338</v>
      </c>
      <c r="D363" s="22">
        <v>30</v>
      </c>
      <c r="E363" s="23">
        <v>1.7430000000000001</v>
      </c>
      <c r="F363" s="24">
        <v>44.347000000000001</v>
      </c>
      <c r="G363" s="24">
        <v>44.414999999999999</v>
      </c>
      <c r="H363" s="24">
        <v>4436.7190000000001</v>
      </c>
      <c r="I363" s="24">
        <v>4861.82</v>
      </c>
      <c r="J363" s="24">
        <v>8.86</v>
      </c>
      <c r="K363" s="24">
        <v>416.24099999999999</v>
      </c>
      <c r="L363" s="24">
        <v>0</v>
      </c>
      <c r="M363" s="24">
        <v>1.8109999999999999</v>
      </c>
      <c r="N363" s="20">
        <v>562.34299999999996</v>
      </c>
    </row>
    <row r="364" spans="1:14" s="20" customFormat="1">
      <c r="A364" s="20">
        <v>11546</v>
      </c>
      <c r="B364" s="20" t="s">
        <v>155</v>
      </c>
      <c r="C364" s="21">
        <v>42338</v>
      </c>
      <c r="D364" s="22">
        <v>30</v>
      </c>
      <c r="E364" s="23">
        <v>0.61499999999999999</v>
      </c>
      <c r="F364" s="24">
        <v>2.339</v>
      </c>
      <c r="G364" s="24">
        <v>1.88</v>
      </c>
      <c r="H364" s="24">
        <v>1673.001</v>
      </c>
      <c r="I364" s="24">
        <v>1964.18</v>
      </c>
      <c r="J364" s="24">
        <v>0.32</v>
      </c>
      <c r="K364" s="24">
        <v>290.85899999999998</v>
      </c>
      <c r="L364" s="24">
        <v>0</v>
      </c>
      <c r="M364" s="24">
        <v>0.156</v>
      </c>
      <c r="N364" s="20">
        <v>22.26</v>
      </c>
    </row>
    <row r="365" spans="1:14" s="20" customFormat="1">
      <c r="A365" s="20">
        <v>10685</v>
      </c>
      <c r="B365" s="20" t="s">
        <v>156</v>
      </c>
      <c r="C365" s="21">
        <v>42338</v>
      </c>
      <c r="D365" s="22">
        <v>30</v>
      </c>
      <c r="E365" s="23">
        <v>0.92</v>
      </c>
      <c r="F365" s="24">
        <v>23.667999999999999</v>
      </c>
      <c r="G365" s="24">
        <v>23.715</v>
      </c>
      <c r="H365" s="24">
        <v>2368.9290000000001</v>
      </c>
      <c r="I365" s="24">
        <v>2693.2</v>
      </c>
      <c r="J365" s="24">
        <v>4.7300000000000004</v>
      </c>
      <c r="K365" s="24">
        <v>319.541</v>
      </c>
      <c r="L365" s="24">
        <v>0</v>
      </c>
      <c r="M365" s="24">
        <v>0.96699999999999997</v>
      </c>
      <c r="N365" s="20">
        <v>300.25599999999997</v>
      </c>
    </row>
    <row r="366" spans="1:14" s="20" customFormat="1">
      <c r="A366" s="20">
        <v>11549</v>
      </c>
      <c r="B366" s="20" t="s">
        <v>157</v>
      </c>
      <c r="C366" s="21">
        <v>42338</v>
      </c>
      <c r="D366" s="22">
        <v>30</v>
      </c>
      <c r="E366" s="23">
        <v>0.83699999999999997</v>
      </c>
      <c r="F366" s="24">
        <v>2.9689999999999999</v>
      </c>
      <c r="G366" s="24">
        <v>2.3279999999999998</v>
      </c>
      <c r="H366" s="24">
        <v>2071.2350000000001</v>
      </c>
      <c r="I366" s="24">
        <v>2377.67</v>
      </c>
      <c r="J366" s="24">
        <v>0.4</v>
      </c>
      <c r="K366" s="24">
        <v>306.03500000000003</v>
      </c>
      <c r="L366" s="24">
        <v>0</v>
      </c>
      <c r="M366" s="24">
        <v>0.19600000000000001</v>
      </c>
      <c r="N366" s="20">
        <v>27.559000000000001</v>
      </c>
    </row>
    <row r="367" spans="1:14" s="20" customFormat="1">
      <c r="A367" s="20">
        <v>11808</v>
      </c>
      <c r="B367" s="20" t="s">
        <v>159</v>
      </c>
      <c r="C367" s="21">
        <v>42338</v>
      </c>
      <c r="D367" s="22">
        <v>30</v>
      </c>
      <c r="E367" s="23">
        <v>1.7210000000000001</v>
      </c>
      <c r="F367" s="24">
        <v>48.103000000000002</v>
      </c>
      <c r="G367" s="24">
        <v>48.234999999999999</v>
      </c>
      <c r="H367" s="24">
        <v>2703.739</v>
      </c>
      <c r="I367" s="24">
        <v>3048.17</v>
      </c>
      <c r="J367" s="24">
        <v>9.6999999999999993</v>
      </c>
      <c r="K367" s="24">
        <v>334.73099999999999</v>
      </c>
      <c r="L367" s="24">
        <v>0</v>
      </c>
      <c r="M367" s="24">
        <v>1.853</v>
      </c>
      <c r="N367" s="20">
        <v>112.926</v>
      </c>
    </row>
    <row r="368" spans="1:14" s="20" customFormat="1">
      <c r="A368" s="20">
        <v>13852</v>
      </c>
      <c r="B368" s="20" t="s">
        <v>160</v>
      </c>
      <c r="C368" s="21">
        <v>42338</v>
      </c>
      <c r="D368" s="22">
        <v>28</v>
      </c>
      <c r="E368" s="23">
        <v>0.20899999999999999</v>
      </c>
      <c r="F368" s="24">
        <v>2.5830000000000002</v>
      </c>
      <c r="G368" s="24">
        <v>2.5640000000000001</v>
      </c>
      <c r="H368" s="24">
        <v>1818.404</v>
      </c>
      <c r="I368" s="24">
        <v>1985.93</v>
      </c>
      <c r="J368" s="24">
        <v>0.46</v>
      </c>
      <c r="K368" s="24">
        <v>167.066</v>
      </c>
      <c r="L368" s="24">
        <v>0</v>
      </c>
      <c r="M368" s="24">
        <v>0.19</v>
      </c>
      <c r="N368" s="20">
        <v>113.13500000000001</v>
      </c>
    </row>
    <row r="369" spans="1:14" s="20" customFormat="1">
      <c r="A369" s="20">
        <v>11686</v>
      </c>
      <c r="B369" s="20" t="s">
        <v>161</v>
      </c>
      <c r="C369" s="21">
        <v>42338</v>
      </c>
      <c r="D369" s="22">
        <v>30</v>
      </c>
      <c r="E369" s="23">
        <v>0.55400000000000005</v>
      </c>
      <c r="F369" s="24">
        <v>16.329000000000001</v>
      </c>
      <c r="G369" s="24">
        <v>16.443999999999999</v>
      </c>
      <c r="H369" s="24">
        <v>1642.6769999999999</v>
      </c>
      <c r="I369" s="24">
        <v>1932.55</v>
      </c>
      <c r="J369" s="24">
        <v>3.28</v>
      </c>
      <c r="K369" s="24">
        <v>286.59300000000002</v>
      </c>
      <c r="L369" s="24">
        <v>0</v>
      </c>
      <c r="M369" s="24">
        <v>0.66900000000000004</v>
      </c>
      <c r="N369" s="20">
        <v>208.20500000000001</v>
      </c>
    </row>
    <row r="370" spans="1:14" s="20" customFormat="1">
      <c r="A370" s="20">
        <v>11678</v>
      </c>
      <c r="B370" s="20" t="s">
        <v>163</v>
      </c>
      <c r="C370" s="21">
        <v>42338</v>
      </c>
      <c r="D370" s="22">
        <v>26</v>
      </c>
      <c r="E370" s="23">
        <v>0.60299999999999998</v>
      </c>
      <c r="F370" s="24">
        <v>15.686</v>
      </c>
      <c r="G370" s="24">
        <v>15.723000000000001</v>
      </c>
      <c r="H370" s="24">
        <v>1570.645</v>
      </c>
      <c r="I370" s="24">
        <v>1857.11</v>
      </c>
      <c r="J370" s="24">
        <v>3.14</v>
      </c>
      <c r="K370" s="24">
        <v>283.32499999999999</v>
      </c>
      <c r="L370" s="24">
        <v>0</v>
      </c>
      <c r="M370" s="24">
        <v>0.64</v>
      </c>
      <c r="N370" s="20">
        <v>199.07400000000001</v>
      </c>
    </row>
    <row r="371" spans="1:14" s="20" customFormat="1">
      <c r="A371" s="20">
        <v>11807</v>
      </c>
      <c r="B371" s="20" t="s">
        <v>164</v>
      </c>
      <c r="C371" s="21">
        <v>42338</v>
      </c>
      <c r="D371" s="22">
        <v>30</v>
      </c>
      <c r="E371" s="23">
        <v>1.47</v>
      </c>
      <c r="F371" s="24">
        <v>41.412999999999997</v>
      </c>
      <c r="G371" s="24">
        <v>41.537999999999997</v>
      </c>
      <c r="H371" s="24">
        <v>2328.4650000000001</v>
      </c>
      <c r="I371" s="24">
        <v>2654.52</v>
      </c>
      <c r="J371" s="24">
        <v>8.35</v>
      </c>
      <c r="K371" s="24">
        <v>317.70499999999998</v>
      </c>
      <c r="L371" s="24">
        <v>0</v>
      </c>
      <c r="M371" s="24">
        <v>1.595</v>
      </c>
      <c r="N371" s="20">
        <v>97.251999999999995</v>
      </c>
    </row>
    <row r="372" spans="1:14" s="20" customFormat="1">
      <c r="A372" s="20">
        <v>11818</v>
      </c>
      <c r="B372" s="20" t="s">
        <v>165</v>
      </c>
      <c r="C372" s="21">
        <v>42338</v>
      </c>
      <c r="D372" s="22">
        <v>30</v>
      </c>
      <c r="E372" s="23">
        <v>1.355</v>
      </c>
      <c r="F372" s="24">
        <v>38.090000000000003</v>
      </c>
      <c r="G372" s="24">
        <v>38.201999999999998</v>
      </c>
      <c r="H372" s="24">
        <v>2141.3530000000001</v>
      </c>
      <c r="I372" s="24">
        <v>2458.25</v>
      </c>
      <c r="J372" s="24">
        <v>7.68</v>
      </c>
      <c r="K372" s="24">
        <v>309.21699999999998</v>
      </c>
      <c r="L372" s="24">
        <v>0</v>
      </c>
      <c r="M372" s="24">
        <v>1.4670000000000001</v>
      </c>
      <c r="N372" s="20">
        <v>89.436999999999998</v>
      </c>
    </row>
    <row r="373" spans="1:14" s="20" customFormat="1">
      <c r="A373" s="20">
        <v>11814</v>
      </c>
      <c r="B373" s="20" t="s">
        <v>166</v>
      </c>
      <c r="C373" s="21">
        <v>42338</v>
      </c>
      <c r="D373" s="22">
        <v>0</v>
      </c>
      <c r="E373" s="23">
        <v>0</v>
      </c>
      <c r="F373" s="24">
        <v>0</v>
      </c>
      <c r="G373" s="24">
        <v>0</v>
      </c>
      <c r="H373" s="24">
        <v>0</v>
      </c>
      <c r="I373" s="24">
        <v>0</v>
      </c>
      <c r="J373" s="24">
        <v>0</v>
      </c>
      <c r="K373" s="24">
        <v>0</v>
      </c>
      <c r="L373" s="24">
        <v>0</v>
      </c>
      <c r="M373" s="24">
        <v>0</v>
      </c>
      <c r="N373" s="20">
        <v>0</v>
      </c>
    </row>
    <row r="374" spans="1:14" s="20" customFormat="1">
      <c r="A374" s="20">
        <v>11966</v>
      </c>
      <c r="B374" s="20" t="s">
        <v>167</v>
      </c>
      <c r="C374" s="21">
        <v>42338</v>
      </c>
      <c r="D374" s="22">
        <v>30</v>
      </c>
      <c r="E374" s="23">
        <v>0.42799999999999999</v>
      </c>
      <c r="F374" s="24">
        <v>9.8970000000000002</v>
      </c>
      <c r="G374" s="24">
        <v>9.9139999999999997</v>
      </c>
      <c r="H374" s="24">
        <v>1767.0350000000001</v>
      </c>
      <c r="I374" s="24">
        <v>1990.38</v>
      </c>
      <c r="J374" s="24">
        <v>1.95</v>
      </c>
      <c r="K374" s="24">
        <v>221.39500000000001</v>
      </c>
      <c r="L374" s="24">
        <v>0</v>
      </c>
      <c r="M374" s="24">
        <v>0.44500000000000001</v>
      </c>
      <c r="N374" s="20">
        <v>120.804</v>
      </c>
    </row>
    <row r="375" spans="1:14" s="20" customFormat="1">
      <c r="A375" s="20">
        <v>13955</v>
      </c>
      <c r="B375" s="20" t="s">
        <v>168</v>
      </c>
      <c r="C375" s="21">
        <v>42338</v>
      </c>
      <c r="D375" s="22">
        <v>27</v>
      </c>
      <c r="E375" s="23">
        <v>0.14499999999999999</v>
      </c>
      <c r="F375" s="24">
        <v>1.754</v>
      </c>
      <c r="G375" s="24">
        <v>1.736</v>
      </c>
      <c r="H375" s="24">
        <v>1230.2860000000001</v>
      </c>
      <c r="I375" s="24">
        <v>1427.64</v>
      </c>
      <c r="J375" s="24">
        <v>0.31</v>
      </c>
      <c r="K375" s="24">
        <v>197.04400000000001</v>
      </c>
      <c r="L375" s="24">
        <v>0</v>
      </c>
      <c r="M375" s="24">
        <v>0.127</v>
      </c>
      <c r="N375" s="20">
        <v>76.543999999999997</v>
      </c>
    </row>
    <row r="376" spans="1:14" s="20" customFormat="1">
      <c r="A376" s="20">
        <v>13849</v>
      </c>
      <c r="B376" s="20" t="s">
        <v>169</v>
      </c>
      <c r="C376" s="21">
        <v>42338</v>
      </c>
      <c r="D376" s="22">
        <v>30</v>
      </c>
      <c r="E376" s="23">
        <v>5.0000000000000001E-3</v>
      </c>
      <c r="F376" s="24">
        <v>8.4000000000000005E-2</v>
      </c>
      <c r="G376" s="24">
        <v>8.5000000000000006E-2</v>
      </c>
      <c r="H376" s="24">
        <v>60.84</v>
      </c>
      <c r="I376" s="24">
        <v>149.91999999999999</v>
      </c>
      <c r="J376" s="24">
        <v>0.02</v>
      </c>
      <c r="K376" s="24">
        <v>89.06</v>
      </c>
      <c r="L376" s="24">
        <v>0</v>
      </c>
      <c r="M376" s="24">
        <v>6.0000000000000001E-3</v>
      </c>
      <c r="N376" s="20">
        <v>3.7850000000000001</v>
      </c>
    </row>
    <row r="377" spans="1:14" s="20" customFormat="1">
      <c r="A377" s="20">
        <v>10567</v>
      </c>
      <c r="B377" s="20" t="s">
        <v>170</v>
      </c>
      <c r="C377" s="21">
        <v>42338</v>
      </c>
      <c r="D377" s="22">
        <v>30</v>
      </c>
      <c r="E377" s="23">
        <v>0.16300000000000001</v>
      </c>
      <c r="F377" s="24">
        <v>2.2349999999999999</v>
      </c>
      <c r="G377" s="24">
        <v>2.2360000000000002</v>
      </c>
      <c r="H377" s="24">
        <v>1585.0889999999999</v>
      </c>
      <c r="I377" s="24">
        <v>1741.97</v>
      </c>
      <c r="J377" s="24">
        <v>0.4</v>
      </c>
      <c r="K377" s="24">
        <v>156.48099999999999</v>
      </c>
      <c r="L377" s="24">
        <v>0</v>
      </c>
      <c r="M377" s="24">
        <v>0.16400000000000001</v>
      </c>
      <c r="N377" s="20">
        <v>98.619</v>
      </c>
    </row>
    <row r="378" spans="1:14" s="20" customFormat="1">
      <c r="A378" s="20">
        <v>13958</v>
      </c>
      <c r="B378" s="20" t="s">
        <v>171</v>
      </c>
      <c r="C378" s="21">
        <v>42338</v>
      </c>
      <c r="D378" s="22">
        <v>30</v>
      </c>
      <c r="E378" s="23">
        <v>0.308</v>
      </c>
      <c r="F378" s="24">
        <v>5.0410000000000004</v>
      </c>
      <c r="G378" s="24">
        <v>5.0979999999999999</v>
      </c>
      <c r="H378" s="24">
        <v>2697.5219999999999</v>
      </c>
      <c r="I378" s="24">
        <v>2905.38</v>
      </c>
      <c r="J378" s="24">
        <v>0.91</v>
      </c>
      <c r="K378" s="24">
        <v>206.94800000000001</v>
      </c>
      <c r="L378" s="24">
        <v>0</v>
      </c>
      <c r="M378" s="24">
        <v>0.36499999999999999</v>
      </c>
      <c r="N378" s="20">
        <v>224.88900000000001</v>
      </c>
    </row>
    <row r="379" spans="1:14" s="20" customFormat="1">
      <c r="A379" s="20">
        <v>10566</v>
      </c>
      <c r="B379" s="20" t="s">
        <v>172</v>
      </c>
      <c r="C379" s="21">
        <v>42338</v>
      </c>
      <c r="D379" s="22">
        <v>2</v>
      </c>
      <c r="E379" s="23">
        <v>0.60199999999999998</v>
      </c>
      <c r="F379" s="24">
        <v>12.874000000000001</v>
      </c>
      <c r="G379" s="24">
        <v>12.760999999999999</v>
      </c>
      <c r="H379" s="24">
        <v>700.13699999999994</v>
      </c>
      <c r="I379" s="24">
        <v>948.27</v>
      </c>
      <c r="J379" s="24">
        <v>2.57</v>
      </c>
      <c r="K379" s="24">
        <v>245.56299999999999</v>
      </c>
      <c r="L379" s="24">
        <v>0</v>
      </c>
      <c r="M379" s="24">
        <v>0.48899999999999999</v>
      </c>
      <c r="N379" s="20">
        <v>31.855</v>
      </c>
    </row>
    <row r="380" spans="1:14" s="20" customFormat="1">
      <c r="A380" s="20">
        <v>13957</v>
      </c>
      <c r="B380" s="20" t="s">
        <v>173</v>
      </c>
      <c r="C380" s="21">
        <v>42338</v>
      </c>
      <c r="D380" s="22">
        <v>30</v>
      </c>
      <c r="E380" s="23">
        <v>0.49199999999999999</v>
      </c>
      <c r="F380" s="24">
        <v>6.4530000000000003</v>
      </c>
      <c r="G380" s="24">
        <v>6.431</v>
      </c>
      <c r="H380" s="24">
        <v>4558.8770000000004</v>
      </c>
      <c r="I380" s="24">
        <v>4910.96</v>
      </c>
      <c r="J380" s="24">
        <v>1.1399999999999999</v>
      </c>
      <c r="K380" s="24">
        <v>350.94299999999998</v>
      </c>
      <c r="L380" s="24">
        <v>0</v>
      </c>
      <c r="M380" s="24">
        <v>0.47</v>
      </c>
      <c r="N380" s="20">
        <v>283.637</v>
      </c>
    </row>
    <row r="381" spans="1:14" s="20" customFormat="1">
      <c r="A381" s="20">
        <v>11816</v>
      </c>
      <c r="B381" s="20" t="s">
        <v>174</v>
      </c>
      <c r="C381" s="21">
        <v>42338</v>
      </c>
      <c r="D381" s="22">
        <v>30</v>
      </c>
      <c r="E381" s="23">
        <v>0.59499999999999997</v>
      </c>
      <c r="F381" s="24">
        <v>8.67</v>
      </c>
      <c r="G381" s="24">
        <v>8.4369999999999994</v>
      </c>
      <c r="H381" s="24">
        <v>1172.4110000000001</v>
      </c>
      <c r="I381" s="24">
        <v>1441.65</v>
      </c>
      <c r="J381" s="24">
        <v>1.67</v>
      </c>
      <c r="K381" s="24">
        <v>267.56900000000002</v>
      </c>
      <c r="L381" s="24">
        <v>0</v>
      </c>
      <c r="M381" s="24">
        <v>0.36199999999999999</v>
      </c>
      <c r="N381" s="20">
        <v>13.231</v>
      </c>
    </row>
    <row r="382" spans="1:14" s="20" customFormat="1">
      <c r="A382" s="20">
        <v>11815</v>
      </c>
      <c r="B382" s="20" t="s">
        <v>175</v>
      </c>
      <c r="C382" s="21">
        <v>42338</v>
      </c>
      <c r="D382" s="22">
        <v>30</v>
      </c>
      <c r="E382" s="23">
        <v>0.23300000000000001</v>
      </c>
      <c r="F382" s="24">
        <v>3.5950000000000002</v>
      </c>
      <c r="G382" s="24">
        <v>3.512</v>
      </c>
      <c r="H382" s="24">
        <v>488.05799999999999</v>
      </c>
      <c r="I382" s="24">
        <v>722.97</v>
      </c>
      <c r="J382" s="24">
        <v>0.7</v>
      </c>
      <c r="K382" s="24">
        <v>234.21199999999999</v>
      </c>
      <c r="L382" s="24">
        <v>0</v>
      </c>
      <c r="M382" s="24">
        <v>0.15</v>
      </c>
      <c r="N382" s="20">
        <v>5.508</v>
      </c>
    </row>
    <row r="383" spans="1:14" s="20" customFormat="1">
      <c r="A383" s="20">
        <v>12181</v>
      </c>
      <c r="B383" s="20" t="s">
        <v>176</v>
      </c>
      <c r="C383" s="21">
        <v>42338</v>
      </c>
      <c r="D383" s="22">
        <v>30</v>
      </c>
      <c r="E383" s="23">
        <v>0.54300000000000004</v>
      </c>
      <c r="F383" s="24">
        <v>6.8929999999999998</v>
      </c>
      <c r="G383" s="24">
        <v>6.6360000000000001</v>
      </c>
      <c r="H383" s="24">
        <v>922.16399999999999</v>
      </c>
      <c r="I383" s="24">
        <v>1177.3800000000001</v>
      </c>
      <c r="J383" s="24">
        <v>1.31</v>
      </c>
      <c r="K383" s="24">
        <v>253.90600000000001</v>
      </c>
      <c r="L383" s="24">
        <v>0</v>
      </c>
      <c r="M383" s="24">
        <v>0.28599999999999998</v>
      </c>
      <c r="N383" s="20">
        <v>10.407</v>
      </c>
    </row>
    <row r="384" spans="1:14" s="20" customFormat="1">
      <c r="A384" s="20">
        <v>10565</v>
      </c>
      <c r="B384" s="20" t="s">
        <v>177</v>
      </c>
      <c r="C384" s="21">
        <v>42338</v>
      </c>
      <c r="D384" s="22">
        <v>2</v>
      </c>
      <c r="E384" s="23">
        <v>0.40899999999999997</v>
      </c>
      <c r="F384" s="24">
        <v>15.396000000000001</v>
      </c>
      <c r="G384" s="24">
        <v>15.58</v>
      </c>
      <c r="H384" s="24">
        <v>854.81899999999996</v>
      </c>
      <c r="I384" s="24">
        <v>1108.8</v>
      </c>
      <c r="J384" s="24">
        <v>3.13</v>
      </c>
      <c r="K384" s="24">
        <v>250.851</v>
      </c>
      <c r="L384" s="24">
        <v>0</v>
      </c>
      <c r="M384" s="24">
        <v>0.59299999999999997</v>
      </c>
      <c r="N384" s="20">
        <v>38.893000000000001</v>
      </c>
    </row>
    <row r="385" spans="1:14" s="20" customFormat="1">
      <c r="A385" s="20">
        <v>11811</v>
      </c>
      <c r="B385" s="20" t="s">
        <v>178</v>
      </c>
      <c r="C385" s="21">
        <v>42338</v>
      </c>
      <c r="D385" s="22">
        <v>0</v>
      </c>
      <c r="E385" s="23">
        <v>7.0000000000000001E-3</v>
      </c>
      <c r="F385" s="24">
        <v>7.0000000000000001E-3</v>
      </c>
      <c r="G385" s="24">
        <v>0</v>
      </c>
      <c r="H385" s="24">
        <v>0</v>
      </c>
      <c r="I385" s="24">
        <v>0</v>
      </c>
      <c r="J385" s="24">
        <v>0</v>
      </c>
      <c r="K385" s="24">
        <v>0</v>
      </c>
      <c r="L385" s="24">
        <v>0</v>
      </c>
      <c r="M385" s="24">
        <v>0</v>
      </c>
      <c r="N385" s="20">
        <v>0</v>
      </c>
    </row>
    <row r="386" spans="1:14" s="20" customFormat="1">
      <c r="A386" s="20">
        <v>10564</v>
      </c>
      <c r="B386" s="20" t="s">
        <v>179</v>
      </c>
      <c r="C386" s="21">
        <v>42338</v>
      </c>
      <c r="D386" s="22">
        <v>29</v>
      </c>
      <c r="E386" s="23">
        <v>0.56599999999999995</v>
      </c>
      <c r="F386" s="24">
        <v>15.198</v>
      </c>
      <c r="G386" s="24">
        <v>15.215</v>
      </c>
      <c r="H386" s="24">
        <v>834.82600000000002</v>
      </c>
      <c r="I386" s="24">
        <v>1087.83</v>
      </c>
      <c r="J386" s="24">
        <v>3.06</v>
      </c>
      <c r="K386" s="24">
        <v>249.94399999999999</v>
      </c>
      <c r="L386" s="24">
        <v>0</v>
      </c>
      <c r="M386" s="24">
        <v>0.58299999999999996</v>
      </c>
      <c r="N386" s="20">
        <v>37.982999999999997</v>
      </c>
    </row>
    <row r="387" spans="1:14" s="20" customFormat="1">
      <c r="A387" s="20">
        <v>11810</v>
      </c>
      <c r="B387" s="20" t="s">
        <v>180</v>
      </c>
      <c r="C387" s="21">
        <v>42338</v>
      </c>
      <c r="D387" s="22">
        <v>2</v>
      </c>
      <c r="E387" s="23">
        <v>0.20100000000000001</v>
      </c>
      <c r="F387" s="24">
        <v>3.9790000000000001</v>
      </c>
      <c r="G387" s="24">
        <v>3.9809999999999999</v>
      </c>
      <c r="H387" s="24">
        <v>1147.922</v>
      </c>
      <c r="I387" s="24">
        <v>1412.84</v>
      </c>
      <c r="J387" s="24">
        <v>0.77</v>
      </c>
      <c r="K387" s="24">
        <v>264.14800000000002</v>
      </c>
      <c r="L387" s="24">
        <v>0</v>
      </c>
      <c r="M387" s="24">
        <v>0.20300000000000001</v>
      </c>
      <c r="N387" s="20">
        <v>118.697</v>
      </c>
    </row>
    <row r="388" spans="1:14" s="20" customFormat="1">
      <c r="A388" s="20">
        <v>11926</v>
      </c>
      <c r="B388" s="20" t="s">
        <v>181</v>
      </c>
      <c r="C388" s="21">
        <v>42338</v>
      </c>
      <c r="D388" s="22">
        <v>2</v>
      </c>
      <c r="E388" s="23">
        <v>0.185</v>
      </c>
      <c r="F388" s="24">
        <v>3.4750000000000001</v>
      </c>
      <c r="G388" s="24">
        <v>3.4689999999999999</v>
      </c>
      <c r="H388" s="24">
        <v>1000.127</v>
      </c>
      <c r="I388" s="24">
        <v>1187.4000000000001</v>
      </c>
      <c r="J388" s="24">
        <v>0.67</v>
      </c>
      <c r="K388" s="24">
        <v>186.60300000000001</v>
      </c>
      <c r="L388" s="24">
        <v>0</v>
      </c>
      <c r="M388" s="24">
        <v>0.17899999999999999</v>
      </c>
      <c r="N388" s="20">
        <v>103.41500000000001</v>
      </c>
    </row>
    <row r="389" spans="1:14" s="20" customFormat="1">
      <c r="A389" s="20">
        <v>10563</v>
      </c>
      <c r="B389" s="20" t="s">
        <v>182</v>
      </c>
      <c r="C389" s="21">
        <v>42338</v>
      </c>
      <c r="D389" s="22">
        <v>30</v>
      </c>
      <c r="E389" s="23">
        <v>1.0609999999999999</v>
      </c>
      <c r="F389" s="24">
        <v>32.031999999999996</v>
      </c>
      <c r="G389" s="24">
        <v>32.204000000000001</v>
      </c>
      <c r="H389" s="24">
        <v>1766.9390000000001</v>
      </c>
      <c r="I389" s="24">
        <v>2065.64</v>
      </c>
      <c r="J389" s="24">
        <v>6.47</v>
      </c>
      <c r="K389" s="24">
        <v>292.23099999999999</v>
      </c>
      <c r="L389" s="24">
        <v>0</v>
      </c>
      <c r="M389" s="24">
        <v>1.2330000000000001</v>
      </c>
      <c r="N389" s="20">
        <v>80.391999999999996</v>
      </c>
    </row>
    <row r="390" spans="1:14" s="20" customFormat="1">
      <c r="A390" s="20">
        <v>11812</v>
      </c>
      <c r="B390" s="20" t="s">
        <v>183</v>
      </c>
      <c r="C390" s="21">
        <v>42338</v>
      </c>
      <c r="D390" s="22">
        <v>23</v>
      </c>
      <c r="E390" s="23">
        <v>0.247</v>
      </c>
      <c r="F390" s="24">
        <v>4.4450000000000003</v>
      </c>
      <c r="G390" s="24">
        <v>4.4249999999999998</v>
      </c>
      <c r="H390" s="24">
        <v>1276.011</v>
      </c>
      <c r="I390" s="24">
        <v>1546.82</v>
      </c>
      <c r="J390" s="24">
        <v>0.85</v>
      </c>
      <c r="K390" s="24">
        <v>269.959</v>
      </c>
      <c r="L390" s="24">
        <v>0</v>
      </c>
      <c r="M390" s="24">
        <v>0.22700000000000001</v>
      </c>
      <c r="N390" s="20">
        <v>131.941</v>
      </c>
    </row>
    <row r="391" spans="1:14" s="20" customFormat="1">
      <c r="A391" s="20">
        <v>11809</v>
      </c>
      <c r="B391" s="20" t="s">
        <v>184</v>
      </c>
      <c r="C391" s="21">
        <v>42338</v>
      </c>
      <c r="D391" s="22">
        <v>29</v>
      </c>
      <c r="E391" s="23">
        <v>0.22900000000000001</v>
      </c>
      <c r="F391" s="24">
        <v>4.8559999999999999</v>
      </c>
      <c r="G391" s="24">
        <v>4.8760000000000003</v>
      </c>
      <c r="H391" s="24">
        <v>1405.9179999999999</v>
      </c>
      <c r="I391" s="24">
        <v>1682.71</v>
      </c>
      <c r="J391" s="24">
        <v>0.94</v>
      </c>
      <c r="K391" s="24">
        <v>275.85199999999998</v>
      </c>
      <c r="L391" s="24">
        <v>0</v>
      </c>
      <c r="M391" s="24">
        <v>0.249</v>
      </c>
      <c r="N391" s="20">
        <v>145.375</v>
      </c>
    </row>
    <row r="392" spans="1:14" s="20" customFormat="1">
      <c r="A392" s="20">
        <v>11767</v>
      </c>
      <c r="B392" s="20" t="s">
        <v>185</v>
      </c>
      <c r="C392" s="21">
        <v>42338</v>
      </c>
      <c r="D392" s="22">
        <v>30</v>
      </c>
      <c r="E392" s="23">
        <v>0.25</v>
      </c>
      <c r="F392" s="24">
        <v>2.0249999999999999</v>
      </c>
      <c r="G392" s="24">
        <v>1.913</v>
      </c>
      <c r="H392" s="24">
        <v>1304.614</v>
      </c>
      <c r="I392" s="24">
        <v>1533.71</v>
      </c>
      <c r="J392" s="24">
        <v>0.34</v>
      </c>
      <c r="K392" s="24">
        <v>228.756</v>
      </c>
      <c r="L392" s="24">
        <v>0</v>
      </c>
      <c r="M392" s="24">
        <v>0.13800000000000001</v>
      </c>
      <c r="N392" s="20">
        <v>68.938000000000002</v>
      </c>
    </row>
    <row r="393" spans="1:14" s="20" customFormat="1">
      <c r="A393" s="20">
        <v>11768</v>
      </c>
      <c r="B393" s="20" t="s">
        <v>186</v>
      </c>
      <c r="C393" s="21">
        <v>42338</v>
      </c>
      <c r="D393" s="22">
        <v>30</v>
      </c>
      <c r="E393" s="23">
        <v>0.21299999999999999</v>
      </c>
      <c r="F393" s="24">
        <v>1.7150000000000001</v>
      </c>
      <c r="G393" s="24">
        <v>1.619</v>
      </c>
      <c r="H393" s="24">
        <v>1105.3530000000001</v>
      </c>
      <c r="I393" s="24">
        <v>1325.36</v>
      </c>
      <c r="J393" s="24">
        <v>0.28999999999999998</v>
      </c>
      <c r="K393" s="24">
        <v>219.71700000000001</v>
      </c>
      <c r="L393" s="24">
        <v>0</v>
      </c>
      <c r="M393" s="24">
        <v>0.11700000000000001</v>
      </c>
      <c r="N393" s="20">
        <v>58.408999999999999</v>
      </c>
    </row>
    <row r="394" spans="1:14" s="20" customFormat="1">
      <c r="A394" s="20">
        <v>13291</v>
      </c>
      <c r="B394" s="20" t="s">
        <v>187</v>
      </c>
      <c r="C394" s="21">
        <v>42338</v>
      </c>
      <c r="D394" s="22">
        <v>30</v>
      </c>
      <c r="E394" s="23">
        <v>0.33700000000000002</v>
      </c>
      <c r="F394" s="24">
        <v>2.722</v>
      </c>
      <c r="G394" s="24">
        <v>2.569</v>
      </c>
      <c r="H394" s="24">
        <v>1753.356</v>
      </c>
      <c r="I394" s="24">
        <v>2002.93</v>
      </c>
      <c r="J394" s="24">
        <v>0.46</v>
      </c>
      <c r="K394" s="24">
        <v>249.114</v>
      </c>
      <c r="L394" s="24">
        <v>0</v>
      </c>
      <c r="M394" s="24">
        <v>0.184</v>
      </c>
      <c r="N394" s="20">
        <v>92.65</v>
      </c>
    </row>
    <row r="395" spans="1:14" s="20" customFormat="1">
      <c r="A395" s="20">
        <v>13292</v>
      </c>
      <c r="B395" s="20" t="s">
        <v>188</v>
      </c>
      <c r="C395" s="21">
        <v>42338</v>
      </c>
      <c r="D395" s="22">
        <v>30</v>
      </c>
      <c r="E395" s="23">
        <v>0.28000000000000003</v>
      </c>
      <c r="F395" s="24">
        <v>2.2589999999999999</v>
      </c>
      <c r="G395" s="24">
        <v>2.1339999999999999</v>
      </c>
      <c r="H395" s="24">
        <v>1456.3309999999999</v>
      </c>
      <c r="I395" s="24">
        <v>1692.35</v>
      </c>
      <c r="J395" s="24">
        <v>0.38</v>
      </c>
      <c r="K395" s="24">
        <v>235.63900000000001</v>
      </c>
      <c r="L395" s="24">
        <v>0</v>
      </c>
      <c r="M395" s="24">
        <v>0.155</v>
      </c>
      <c r="N395" s="20">
        <v>76.954999999999998</v>
      </c>
    </row>
    <row r="396" spans="1:14" s="20" customFormat="1">
      <c r="A396" s="20">
        <v>11769</v>
      </c>
      <c r="B396" s="20" t="s">
        <v>189</v>
      </c>
      <c r="C396" s="21">
        <v>42338</v>
      </c>
      <c r="D396" s="22">
        <v>30</v>
      </c>
      <c r="E396" s="23">
        <v>0.189</v>
      </c>
      <c r="F396" s="24">
        <v>1.5129999999999999</v>
      </c>
      <c r="G396" s="24">
        <v>1.4259999999999999</v>
      </c>
      <c r="H396" s="24">
        <v>973.24699999999996</v>
      </c>
      <c r="I396" s="24">
        <v>1229.72</v>
      </c>
      <c r="J396" s="24">
        <v>0.25</v>
      </c>
      <c r="K396" s="24">
        <v>256.22300000000001</v>
      </c>
      <c r="L396" s="24">
        <v>0</v>
      </c>
      <c r="M396" s="24">
        <v>0.10199999999999999</v>
      </c>
      <c r="N396" s="20">
        <v>51.427999999999997</v>
      </c>
    </row>
    <row r="397" spans="1:14" s="20" customFormat="1">
      <c r="A397" s="20">
        <v>13290</v>
      </c>
      <c r="B397" s="20" t="s">
        <v>190</v>
      </c>
      <c r="C397" s="21">
        <v>42338</v>
      </c>
      <c r="D397" s="22">
        <v>30</v>
      </c>
      <c r="E397" s="23">
        <v>0.307</v>
      </c>
      <c r="F397" s="24">
        <v>2.4940000000000002</v>
      </c>
      <c r="G397" s="24">
        <v>2.3559999999999999</v>
      </c>
      <c r="H397" s="24">
        <v>1607.2819999999999</v>
      </c>
      <c r="I397" s="24">
        <v>1892.69</v>
      </c>
      <c r="J397" s="24">
        <v>0.42</v>
      </c>
      <c r="K397" s="24">
        <v>284.988</v>
      </c>
      <c r="L397" s="24">
        <v>0</v>
      </c>
      <c r="M397" s="24">
        <v>0.16900000000000001</v>
      </c>
      <c r="N397" s="20">
        <v>84.93</v>
      </c>
    </row>
    <row r="398" spans="1:14" s="20" customFormat="1">
      <c r="A398" s="20">
        <v>11766</v>
      </c>
      <c r="B398" s="20" t="s">
        <v>191</v>
      </c>
      <c r="C398" s="21">
        <v>42338</v>
      </c>
      <c r="D398" s="22">
        <v>30</v>
      </c>
      <c r="E398" s="23">
        <v>0.29099999999999998</v>
      </c>
      <c r="F398" s="24">
        <v>2.323</v>
      </c>
      <c r="G398" s="24">
        <v>2.1890000000000001</v>
      </c>
      <c r="H398" s="24">
        <v>1493.6379999999999</v>
      </c>
      <c r="I398" s="24">
        <v>1734.25</v>
      </c>
      <c r="J398" s="24">
        <v>0.39</v>
      </c>
      <c r="K398" s="24">
        <v>240.22200000000001</v>
      </c>
      <c r="L398" s="24">
        <v>0</v>
      </c>
      <c r="M398" s="24">
        <v>0.157</v>
      </c>
      <c r="N398" s="20">
        <v>78.926000000000002</v>
      </c>
    </row>
    <row r="399" spans="1:14" s="20" customFormat="1">
      <c r="A399" s="20">
        <v>11770</v>
      </c>
      <c r="B399" s="20" t="s">
        <v>192</v>
      </c>
      <c r="C399" s="21">
        <v>42338</v>
      </c>
      <c r="D399" s="22">
        <v>22</v>
      </c>
      <c r="E399" s="23">
        <v>0.214</v>
      </c>
      <c r="F399" s="24">
        <v>1.7849999999999999</v>
      </c>
      <c r="G399" s="24">
        <v>1.6919999999999999</v>
      </c>
      <c r="H399" s="24">
        <v>1154.905</v>
      </c>
      <c r="I399" s="24">
        <v>1421.98</v>
      </c>
      <c r="J399" s="24">
        <v>0.3</v>
      </c>
      <c r="K399" s="24">
        <v>266.77499999999998</v>
      </c>
      <c r="L399" s="24">
        <v>0</v>
      </c>
      <c r="M399" s="24">
        <v>0.121</v>
      </c>
      <c r="N399" s="20">
        <v>61.026000000000003</v>
      </c>
    </row>
    <row r="400" spans="1:14" s="20" customFormat="1">
      <c r="A400" s="20">
        <v>10345</v>
      </c>
      <c r="B400" s="20" t="s">
        <v>193</v>
      </c>
      <c r="C400" s="21">
        <v>42338</v>
      </c>
      <c r="D400" s="22">
        <v>30</v>
      </c>
      <c r="E400" s="23">
        <v>0.95</v>
      </c>
      <c r="F400" s="24">
        <v>4.3319999999999999</v>
      </c>
      <c r="G400" s="24">
        <v>3.6019999999999999</v>
      </c>
      <c r="H400" s="24">
        <v>1716.8130000000001</v>
      </c>
      <c r="I400" s="24">
        <v>1964.94</v>
      </c>
      <c r="J400" s="24">
        <v>0.67</v>
      </c>
      <c r="K400" s="24">
        <v>247.45699999999999</v>
      </c>
      <c r="L400" s="24">
        <v>0</v>
      </c>
      <c r="M400" s="24">
        <v>0.22</v>
      </c>
      <c r="N400" s="20">
        <v>88.382999999999996</v>
      </c>
    </row>
    <row r="401" spans="1:14" s="20" customFormat="1">
      <c r="A401" s="20">
        <v>11927</v>
      </c>
      <c r="B401" s="20" t="s">
        <v>195</v>
      </c>
      <c r="C401" s="21">
        <v>42338</v>
      </c>
      <c r="D401" s="22">
        <v>30</v>
      </c>
      <c r="E401" s="23">
        <v>0.92500000000000004</v>
      </c>
      <c r="F401" s="24">
        <v>4.1890000000000001</v>
      </c>
      <c r="G401" s="24">
        <v>3.476</v>
      </c>
      <c r="H401" s="24">
        <v>1656.835</v>
      </c>
      <c r="I401" s="24">
        <v>1905.11</v>
      </c>
      <c r="J401" s="24">
        <v>0.65</v>
      </c>
      <c r="K401" s="24">
        <v>247.625</v>
      </c>
      <c r="L401" s="24">
        <v>0</v>
      </c>
      <c r="M401" s="24">
        <v>0.21199999999999999</v>
      </c>
      <c r="N401" s="20">
        <v>85.295000000000002</v>
      </c>
    </row>
    <row r="402" spans="1:14" s="20" customFormat="1">
      <c r="A402" s="20">
        <v>11961</v>
      </c>
      <c r="B402" s="20" t="s">
        <v>196</v>
      </c>
      <c r="C402" s="21">
        <v>42338</v>
      </c>
      <c r="D402" s="22">
        <v>30</v>
      </c>
      <c r="E402" s="23">
        <v>0.93700000000000006</v>
      </c>
      <c r="F402" s="24">
        <v>4.1959999999999997</v>
      </c>
      <c r="G402" s="24">
        <v>3.472</v>
      </c>
      <c r="H402" s="24">
        <v>1655.0170000000001</v>
      </c>
      <c r="I402" s="24">
        <v>1900.32</v>
      </c>
      <c r="J402" s="24">
        <v>0.65</v>
      </c>
      <c r="K402" s="24">
        <v>244.65299999999999</v>
      </c>
      <c r="L402" s="24">
        <v>0</v>
      </c>
      <c r="M402" s="24">
        <v>0.21299999999999999</v>
      </c>
      <c r="N402" s="20">
        <v>85.201999999999998</v>
      </c>
    </row>
    <row r="403" spans="1:14" s="20" customFormat="1">
      <c r="A403" s="20">
        <v>11928</v>
      </c>
      <c r="B403" s="20" t="s">
        <v>197</v>
      </c>
      <c r="C403" s="21">
        <v>42338</v>
      </c>
      <c r="D403" s="22">
        <v>30</v>
      </c>
      <c r="E403" s="23">
        <v>0.60399999999999998</v>
      </c>
      <c r="F403" s="24">
        <v>2.7829999999999999</v>
      </c>
      <c r="G403" s="24">
        <v>2.3210000000000002</v>
      </c>
      <c r="H403" s="24">
        <v>1106.884</v>
      </c>
      <c r="I403" s="24">
        <v>1327.1</v>
      </c>
      <c r="J403" s="24">
        <v>0.43</v>
      </c>
      <c r="K403" s="24">
        <v>219.786</v>
      </c>
      <c r="L403" s="24">
        <v>0</v>
      </c>
      <c r="M403" s="24">
        <v>0.14199999999999999</v>
      </c>
      <c r="N403" s="20">
        <v>56.984000000000002</v>
      </c>
    </row>
    <row r="404" spans="1:14" s="20" customFormat="1">
      <c r="A404" s="20">
        <v>11960</v>
      </c>
      <c r="B404" s="20" t="s">
        <v>198</v>
      </c>
      <c r="C404" s="21">
        <v>42338</v>
      </c>
      <c r="D404" s="22">
        <v>30</v>
      </c>
      <c r="E404" s="23">
        <v>1.23</v>
      </c>
      <c r="F404" s="24">
        <v>5.4340000000000002</v>
      </c>
      <c r="G404" s="24">
        <v>4.4779999999999998</v>
      </c>
      <c r="H404" s="24">
        <v>2134.4659999999999</v>
      </c>
      <c r="I404" s="24">
        <v>2401.6999999999998</v>
      </c>
      <c r="J404" s="24">
        <v>0.83</v>
      </c>
      <c r="K404" s="24">
        <v>266.404</v>
      </c>
      <c r="L404" s="24">
        <v>0</v>
      </c>
      <c r="M404" s="24">
        <v>0.27400000000000002</v>
      </c>
      <c r="N404" s="20">
        <v>109.884</v>
      </c>
    </row>
    <row r="405" spans="1:14" s="20" customFormat="1">
      <c r="A405" s="20">
        <v>13703</v>
      </c>
      <c r="B405" s="20" t="s">
        <v>199</v>
      </c>
      <c r="C405" s="21">
        <v>42338</v>
      </c>
      <c r="D405" s="22">
        <v>30</v>
      </c>
      <c r="E405" s="23">
        <v>0.85899999999999999</v>
      </c>
      <c r="F405" s="24">
        <v>25.029</v>
      </c>
      <c r="G405" s="24">
        <v>25.152999999999999</v>
      </c>
      <c r="H405" s="24">
        <v>1715.1869999999999</v>
      </c>
      <c r="I405" s="24">
        <v>2010.12</v>
      </c>
      <c r="J405" s="24">
        <v>5.05</v>
      </c>
      <c r="K405" s="24">
        <v>289.88299999999998</v>
      </c>
      <c r="L405" s="24">
        <v>0</v>
      </c>
      <c r="M405" s="24">
        <v>0.98299999999999998</v>
      </c>
      <c r="N405" s="20">
        <v>19.954999999999998</v>
      </c>
    </row>
    <row r="406" spans="1:14" s="20" customFormat="1">
      <c r="A406" s="20">
        <v>13702</v>
      </c>
      <c r="B406" s="20" t="s">
        <v>200</v>
      </c>
      <c r="C406" s="21">
        <v>42338</v>
      </c>
      <c r="D406" s="22">
        <v>29</v>
      </c>
      <c r="E406" s="23">
        <v>0.70799999999999996</v>
      </c>
      <c r="F406" s="24">
        <v>17.593</v>
      </c>
      <c r="G406" s="24">
        <v>17.573</v>
      </c>
      <c r="H406" s="24">
        <v>1198.335</v>
      </c>
      <c r="I406" s="24">
        <v>1470.02</v>
      </c>
      <c r="J406" s="24">
        <v>3.52</v>
      </c>
      <c r="K406" s="24">
        <v>268.16500000000002</v>
      </c>
      <c r="L406" s="24">
        <v>0</v>
      </c>
      <c r="M406" s="24">
        <v>0.68799999999999994</v>
      </c>
      <c r="N406" s="20">
        <v>13.942</v>
      </c>
    </row>
    <row r="407" spans="1:14" s="20" customFormat="1">
      <c r="A407" s="20">
        <v>13701</v>
      </c>
      <c r="B407" s="20" t="s">
        <v>202</v>
      </c>
      <c r="C407" s="21">
        <v>42338</v>
      </c>
      <c r="D407" s="22">
        <v>29</v>
      </c>
      <c r="E407" s="23">
        <v>0.76700000000000002</v>
      </c>
      <c r="F407" s="24">
        <v>21.600999999999999</v>
      </c>
      <c r="G407" s="24">
        <v>21.681000000000001</v>
      </c>
      <c r="H407" s="24">
        <v>1478.5239999999999</v>
      </c>
      <c r="I407" s="24">
        <v>1762.02</v>
      </c>
      <c r="J407" s="24">
        <v>4.3499999999999996</v>
      </c>
      <c r="K407" s="24">
        <v>279.14600000000002</v>
      </c>
      <c r="L407" s="24">
        <v>0</v>
      </c>
      <c r="M407" s="24">
        <v>0.84699999999999998</v>
      </c>
      <c r="N407" s="20">
        <v>17.202000000000002</v>
      </c>
    </row>
    <row r="408" spans="1:14" s="20" customFormat="1">
      <c r="A408" s="20">
        <v>10509</v>
      </c>
      <c r="B408" s="20" t="s">
        <v>203</v>
      </c>
      <c r="C408" s="21">
        <v>42338</v>
      </c>
      <c r="D408" s="22">
        <v>0</v>
      </c>
      <c r="E408" s="23">
        <v>1.7999999999999999E-2</v>
      </c>
      <c r="F408" s="24">
        <v>1.7000000000000001E-2</v>
      </c>
      <c r="G408" s="24">
        <v>0</v>
      </c>
      <c r="H408" s="24">
        <v>0</v>
      </c>
      <c r="I408" s="24">
        <v>0</v>
      </c>
      <c r="J408" s="24">
        <v>0</v>
      </c>
      <c r="K408" s="24">
        <v>0</v>
      </c>
      <c r="L408" s="24">
        <v>0</v>
      </c>
      <c r="M408" s="24">
        <v>1E-3</v>
      </c>
      <c r="N408" s="20">
        <v>0</v>
      </c>
    </row>
    <row r="409" spans="1:14" s="20" customFormat="1">
      <c r="A409" s="20">
        <v>11963</v>
      </c>
      <c r="B409" s="20" t="s">
        <v>204</v>
      </c>
      <c r="C409" s="21">
        <v>42338</v>
      </c>
      <c r="D409" s="22">
        <v>30</v>
      </c>
      <c r="E409" s="23">
        <v>1.151</v>
      </c>
      <c r="F409" s="24">
        <v>31.658000000000001</v>
      </c>
      <c r="G409" s="24">
        <v>31.718</v>
      </c>
      <c r="H409" s="24">
        <v>1615.605</v>
      </c>
      <c r="I409" s="24">
        <v>1907.35</v>
      </c>
      <c r="J409" s="24">
        <v>6.38</v>
      </c>
      <c r="K409" s="24">
        <v>285.36500000000001</v>
      </c>
      <c r="L409" s="24">
        <v>0</v>
      </c>
      <c r="M409" s="24">
        <v>1.2110000000000001</v>
      </c>
      <c r="N409" s="20">
        <v>55.825000000000003</v>
      </c>
    </row>
    <row r="410" spans="1:14" s="20" customFormat="1">
      <c r="A410" s="20">
        <v>10512</v>
      </c>
      <c r="B410" s="20" t="s">
        <v>205</v>
      </c>
      <c r="C410" s="21">
        <v>42338</v>
      </c>
      <c r="D410" s="22">
        <v>30</v>
      </c>
      <c r="E410" s="23">
        <v>0.67400000000000004</v>
      </c>
      <c r="F410" s="24">
        <v>18.306000000000001</v>
      </c>
      <c r="G410" s="24">
        <v>18.331</v>
      </c>
      <c r="H410" s="24">
        <v>933.73900000000003</v>
      </c>
      <c r="I410" s="24">
        <v>1191.8599999999999</v>
      </c>
      <c r="J410" s="24">
        <v>3.69</v>
      </c>
      <c r="K410" s="24">
        <v>254.43100000000001</v>
      </c>
      <c r="L410" s="24">
        <v>0</v>
      </c>
      <c r="M410" s="24">
        <v>0.69899999999999995</v>
      </c>
      <c r="N410" s="20">
        <v>32.264000000000003</v>
      </c>
    </row>
    <row r="411" spans="1:14" s="20" customFormat="1">
      <c r="A411" s="20">
        <v>12011</v>
      </c>
      <c r="B411" s="20" t="s">
        <v>206</v>
      </c>
      <c r="C411" s="21">
        <v>42338</v>
      </c>
      <c r="D411" s="22">
        <v>30</v>
      </c>
      <c r="E411" s="23">
        <v>1.869</v>
      </c>
      <c r="F411" s="24">
        <v>53.383000000000003</v>
      </c>
      <c r="G411" s="24">
        <v>53.555</v>
      </c>
      <c r="H411" s="24">
        <v>2727.942</v>
      </c>
      <c r="I411" s="24">
        <v>3076.86</v>
      </c>
      <c r="J411" s="24">
        <v>10.78</v>
      </c>
      <c r="K411" s="24">
        <v>338.13799999999998</v>
      </c>
      <c r="L411" s="24">
        <v>0</v>
      </c>
      <c r="M411" s="24">
        <v>2.0409999999999999</v>
      </c>
      <c r="N411" s="20">
        <v>94.260999999999996</v>
      </c>
    </row>
    <row r="412" spans="1:14" s="20" customFormat="1">
      <c r="A412" s="20">
        <v>12008</v>
      </c>
      <c r="B412" s="20" t="s">
        <v>207</v>
      </c>
      <c r="C412" s="21">
        <v>42338</v>
      </c>
      <c r="D412" s="22">
        <v>30</v>
      </c>
      <c r="E412" s="23">
        <v>0.82399999999999995</v>
      </c>
      <c r="F412" s="24">
        <v>24.699000000000002</v>
      </c>
      <c r="G412" s="24">
        <v>24.82</v>
      </c>
      <c r="H412" s="24">
        <v>1264.2449999999999</v>
      </c>
      <c r="I412" s="24">
        <v>1538.66</v>
      </c>
      <c r="J412" s="24">
        <v>4.99</v>
      </c>
      <c r="K412" s="24">
        <v>269.42500000000001</v>
      </c>
      <c r="L412" s="24">
        <v>0</v>
      </c>
      <c r="M412" s="24">
        <v>0.94499999999999995</v>
      </c>
      <c r="N412" s="20">
        <v>43.685000000000002</v>
      </c>
    </row>
    <row r="413" spans="1:14" s="20" customFormat="1">
      <c r="A413" s="20">
        <v>15061</v>
      </c>
      <c r="B413" s="20" t="s">
        <v>279</v>
      </c>
      <c r="C413" s="21">
        <v>42338</v>
      </c>
      <c r="D413" s="22">
        <v>30</v>
      </c>
      <c r="E413" s="23">
        <v>0.40500000000000003</v>
      </c>
      <c r="F413" s="24">
        <v>9.5579999999999998</v>
      </c>
      <c r="G413" s="24">
        <v>9.5749999999999993</v>
      </c>
      <c r="H413" s="24">
        <v>1524.249</v>
      </c>
      <c r="I413" s="24">
        <v>1877.36</v>
      </c>
      <c r="J413" s="24">
        <v>1.89</v>
      </c>
      <c r="K413" s="24">
        <v>351.221</v>
      </c>
      <c r="L413" s="24">
        <v>0</v>
      </c>
      <c r="M413" s="24">
        <v>0.42199999999999999</v>
      </c>
      <c r="N413" s="20">
        <v>58.728999999999999</v>
      </c>
    </row>
    <row r="414" spans="1:14" s="20" customFormat="1">
      <c r="A414" s="20">
        <v>15063</v>
      </c>
      <c r="B414" s="20" t="s">
        <v>280</v>
      </c>
      <c r="C414" s="21">
        <v>42338</v>
      </c>
      <c r="D414" s="22">
        <v>29</v>
      </c>
      <c r="E414" s="23">
        <v>0.27700000000000002</v>
      </c>
      <c r="F414" s="24">
        <v>6.7679999999999998</v>
      </c>
      <c r="G414" s="24">
        <v>6.7889999999999997</v>
      </c>
      <c r="H414" s="24">
        <v>1080.769</v>
      </c>
      <c r="I414" s="24">
        <v>1413.21</v>
      </c>
      <c r="J414" s="24">
        <v>1.34</v>
      </c>
      <c r="K414" s="24">
        <v>331.101</v>
      </c>
      <c r="L414" s="24">
        <v>0</v>
      </c>
      <c r="M414" s="24">
        <v>0.29799999999999999</v>
      </c>
      <c r="N414" s="20">
        <v>41.640999999999998</v>
      </c>
    </row>
    <row r="415" spans="1:14" s="20" customFormat="1">
      <c r="A415" s="20">
        <v>9198</v>
      </c>
      <c r="B415" s="20" t="s">
        <v>334</v>
      </c>
      <c r="C415" s="21">
        <v>42338</v>
      </c>
      <c r="D415" s="22">
        <v>30</v>
      </c>
      <c r="E415" s="23">
        <v>39.079000000000001</v>
      </c>
      <c r="F415" s="24">
        <v>1.635</v>
      </c>
      <c r="G415" s="24">
        <v>10.486000000000001</v>
      </c>
      <c r="H415" s="24">
        <v>3319.0079999999998</v>
      </c>
      <c r="I415" s="24">
        <v>3580.91</v>
      </c>
      <c r="J415" s="24">
        <v>1.74</v>
      </c>
      <c r="K415" s="24">
        <v>260.16199999999998</v>
      </c>
      <c r="L415" s="24">
        <v>0</v>
      </c>
      <c r="M415" s="24">
        <v>47.93</v>
      </c>
      <c r="N415" s="20">
        <v>171.79499999999999</v>
      </c>
    </row>
    <row r="416" spans="1:14">
      <c r="A416">
        <v>9199</v>
      </c>
      <c r="B416" t="s">
        <v>335</v>
      </c>
      <c r="C416" s="7">
        <v>42338</v>
      </c>
      <c r="D416" s="5">
        <v>30</v>
      </c>
      <c r="E416" s="12">
        <v>28.228000000000002</v>
      </c>
      <c r="F416" s="6">
        <v>1.181</v>
      </c>
      <c r="G416" s="6">
        <v>7.3780000000000001</v>
      </c>
      <c r="H416" s="6">
        <v>2335.4989999999998</v>
      </c>
      <c r="I416" s="6">
        <v>2544.79</v>
      </c>
      <c r="J416" s="6">
        <v>1.22</v>
      </c>
      <c r="K416" s="6">
        <v>208.071</v>
      </c>
      <c r="L416" s="6">
        <v>0</v>
      </c>
      <c r="M416" s="6">
        <v>34.424999999999997</v>
      </c>
      <c r="N416">
        <v>120.886</v>
      </c>
    </row>
    <row r="417" spans="1:14">
      <c r="A417">
        <v>9200</v>
      </c>
      <c r="B417" t="s">
        <v>336</v>
      </c>
      <c r="C417" s="7">
        <v>42338</v>
      </c>
      <c r="D417" s="5">
        <v>30</v>
      </c>
      <c r="E417" s="12">
        <v>17.105</v>
      </c>
      <c r="F417" s="6">
        <v>0.72799999999999998</v>
      </c>
      <c r="G417" s="6">
        <v>4.5810000000000004</v>
      </c>
      <c r="H417" s="6">
        <v>1450.095</v>
      </c>
      <c r="I417" s="6">
        <v>1612.03</v>
      </c>
      <c r="J417" s="6">
        <v>0.76</v>
      </c>
      <c r="K417" s="6">
        <v>161.17500000000001</v>
      </c>
      <c r="L417" s="6">
        <v>0</v>
      </c>
      <c r="M417" s="6">
        <v>20.957999999999998</v>
      </c>
      <c r="N417">
        <v>75.058999999999997</v>
      </c>
    </row>
    <row r="418" spans="1:14">
      <c r="A418">
        <v>9469</v>
      </c>
      <c r="B418" t="s">
        <v>337</v>
      </c>
      <c r="C418" s="7">
        <v>42338</v>
      </c>
      <c r="D418" s="5">
        <v>30</v>
      </c>
      <c r="E418" s="12">
        <v>23.259</v>
      </c>
      <c r="F418" s="6">
        <v>0.874</v>
      </c>
      <c r="G418" s="6">
        <v>1.0409999999999999</v>
      </c>
      <c r="H418" s="6">
        <v>1789.7080000000001</v>
      </c>
      <c r="I418" s="6">
        <v>1968.87</v>
      </c>
      <c r="J418" s="6">
        <v>0</v>
      </c>
      <c r="K418" s="6">
        <v>179.16200000000001</v>
      </c>
      <c r="L418" s="6">
        <v>0</v>
      </c>
      <c r="M418" s="6">
        <v>23.425999999999998</v>
      </c>
      <c r="N418">
        <v>7.2460000000000004</v>
      </c>
    </row>
    <row r="419" spans="1:14">
      <c r="A419">
        <v>9479</v>
      </c>
      <c r="B419" t="s">
        <v>338</v>
      </c>
      <c r="C419" s="7">
        <v>42338</v>
      </c>
      <c r="D419" s="5">
        <v>30</v>
      </c>
      <c r="E419" s="12">
        <v>16.544</v>
      </c>
      <c r="F419" s="6">
        <v>0.622</v>
      </c>
      <c r="G419" s="6">
        <v>0.73799999999999999</v>
      </c>
      <c r="H419" s="6">
        <v>1266.8030000000001</v>
      </c>
      <c r="I419" s="6">
        <v>1428.54</v>
      </c>
      <c r="J419" s="6">
        <v>0</v>
      </c>
      <c r="K419" s="6">
        <v>161.73699999999999</v>
      </c>
      <c r="L419" s="6">
        <v>0</v>
      </c>
      <c r="M419" s="6">
        <v>16.66</v>
      </c>
      <c r="N419">
        <v>5.1289999999999996</v>
      </c>
    </row>
    <row r="420" spans="1:14">
      <c r="A420">
        <v>9477</v>
      </c>
      <c r="B420" t="s">
        <v>339</v>
      </c>
      <c r="C420" s="7">
        <v>42338</v>
      </c>
      <c r="D420" s="5">
        <v>30</v>
      </c>
      <c r="E420" s="12">
        <v>20.991</v>
      </c>
      <c r="F420" s="6">
        <v>0.78700000000000003</v>
      </c>
      <c r="G420" s="6">
        <v>0.95499999999999996</v>
      </c>
      <c r="H420" s="6">
        <v>1640.89</v>
      </c>
      <c r="I420" s="6">
        <v>1836.01</v>
      </c>
      <c r="J420" s="6">
        <v>0</v>
      </c>
      <c r="K420" s="6">
        <v>195.12</v>
      </c>
      <c r="L420" s="6">
        <v>0</v>
      </c>
      <c r="M420" s="6">
        <v>21.158999999999999</v>
      </c>
      <c r="N420">
        <v>6.6429999999999998</v>
      </c>
    </row>
    <row r="421" spans="1:14">
      <c r="A421">
        <v>9175</v>
      </c>
      <c r="B421" t="s">
        <v>682</v>
      </c>
      <c r="C421" s="7">
        <v>42338</v>
      </c>
      <c r="D421" s="5">
        <v>25</v>
      </c>
      <c r="E421" s="12">
        <v>26.193000000000001</v>
      </c>
      <c r="F421" s="6">
        <v>1E-3</v>
      </c>
      <c r="G421" s="6">
        <v>16.212</v>
      </c>
      <c r="H421" s="6">
        <v>5656.027</v>
      </c>
      <c r="I421" s="6">
        <v>6099.45</v>
      </c>
      <c r="J421" s="6">
        <v>2.62</v>
      </c>
      <c r="K421" s="6">
        <v>440.803</v>
      </c>
      <c r="L421" s="6">
        <v>0</v>
      </c>
      <c r="M421" s="6">
        <v>42.404000000000003</v>
      </c>
      <c r="N421">
        <v>2232.4989999999998</v>
      </c>
    </row>
    <row r="422" spans="1:14">
      <c r="A422">
        <v>9546</v>
      </c>
      <c r="B422" t="s">
        <v>683</v>
      </c>
      <c r="C422" s="7">
        <v>42338</v>
      </c>
      <c r="D422" s="5">
        <v>30</v>
      </c>
      <c r="E422" s="12">
        <v>64.022000000000006</v>
      </c>
      <c r="F422" s="6">
        <v>1.7989999999999999</v>
      </c>
      <c r="G422" s="6">
        <v>10.58</v>
      </c>
      <c r="H422" s="6">
        <v>3691.0050000000001</v>
      </c>
      <c r="I422" s="6">
        <v>4034.64</v>
      </c>
      <c r="J422" s="6">
        <v>1.71</v>
      </c>
      <c r="K422" s="6">
        <v>341.92500000000001</v>
      </c>
      <c r="L422" s="6">
        <v>0</v>
      </c>
      <c r="M422" s="6">
        <v>72.802999999999997</v>
      </c>
      <c r="N422">
        <v>1456.88</v>
      </c>
    </row>
    <row r="423" spans="1:14">
      <c r="A423">
        <v>9176</v>
      </c>
      <c r="B423" t="s">
        <v>684</v>
      </c>
      <c r="C423" s="7">
        <v>42338</v>
      </c>
      <c r="D423" s="5">
        <v>30</v>
      </c>
      <c r="E423" s="12">
        <v>41.59</v>
      </c>
      <c r="F423" s="6">
        <v>1.1679999999999999</v>
      </c>
      <c r="G423" s="6">
        <v>6.67</v>
      </c>
      <c r="H423" s="6">
        <v>2327.1419999999998</v>
      </c>
      <c r="I423" s="6">
        <v>2592.71</v>
      </c>
      <c r="J423" s="6">
        <v>1.08</v>
      </c>
      <c r="K423" s="6">
        <v>264.488</v>
      </c>
      <c r="L423" s="6">
        <v>0</v>
      </c>
      <c r="M423" s="6">
        <v>47.091999999999999</v>
      </c>
      <c r="N423">
        <v>918.55</v>
      </c>
    </row>
    <row r="424" spans="1:14">
      <c r="A424">
        <v>9201</v>
      </c>
      <c r="B424" t="s">
        <v>340</v>
      </c>
      <c r="C424" s="7">
        <v>42338</v>
      </c>
      <c r="D424" s="5">
        <v>30</v>
      </c>
      <c r="E424" s="12">
        <v>36.484999999999999</v>
      </c>
      <c r="F424" s="6">
        <v>0.97499999999999998</v>
      </c>
      <c r="G424" s="6">
        <v>1.2909999999999999</v>
      </c>
      <c r="H424" s="6">
        <v>1987.8150000000001</v>
      </c>
      <c r="I424" s="6">
        <v>2199.16</v>
      </c>
      <c r="J424" s="6">
        <v>0.03</v>
      </c>
      <c r="K424" s="6">
        <v>211.315</v>
      </c>
      <c r="L424" s="6">
        <v>0</v>
      </c>
      <c r="M424" s="6">
        <v>36.801000000000002</v>
      </c>
      <c r="N424">
        <v>70.975999999999999</v>
      </c>
    </row>
    <row r="425" spans="1:14">
      <c r="A425">
        <v>9478</v>
      </c>
      <c r="B425" t="s">
        <v>341</v>
      </c>
      <c r="C425" s="7">
        <v>42338</v>
      </c>
      <c r="D425" s="5">
        <v>30</v>
      </c>
      <c r="E425" s="12">
        <v>33.64</v>
      </c>
      <c r="F425" s="6">
        <v>0.95299999999999996</v>
      </c>
      <c r="G425" s="6">
        <v>1.1739999999999999</v>
      </c>
      <c r="H425" s="6">
        <v>1806.232</v>
      </c>
      <c r="I425" s="6">
        <v>2010.13</v>
      </c>
      <c r="J425" s="6">
        <v>0.02</v>
      </c>
      <c r="K425" s="6">
        <v>203.87799999999999</v>
      </c>
      <c r="L425" s="6">
        <v>0</v>
      </c>
      <c r="M425" s="6">
        <v>33.860999999999997</v>
      </c>
      <c r="N425">
        <v>64.492999999999995</v>
      </c>
    </row>
    <row r="426" spans="1:14">
      <c r="A426">
        <v>10099</v>
      </c>
      <c r="B426" t="s">
        <v>1015</v>
      </c>
      <c r="C426" s="7">
        <v>42338</v>
      </c>
      <c r="D426" s="5">
        <v>30</v>
      </c>
      <c r="E426" s="12">
        <v>6.5750000000000002</v>
      </c>
      <c r="F426" s="6">
        <v>4.4279999999999999</v>
      </c>
      <c r="G426" s="6">
        <v>4.75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6.8970000000000002</v>
      </c>
      <c r="N426">
        <v>35.084000000000003</v>
      </c>
    </row>
    <row r="427" spans="1:14">
      <c r="A427">
        <v>10099</v>
      </c>
      <c r="B427" t="s">
        <v>1016</v>
      </c>
      <c r="C427" s="7">
        <v>42338</v>
      </c>
      <c r="D427" s="5">
        <v>30</v>
      </c>
      <c r="E427" s="12">
        <v>6.5750000000000002</v>
      </c>
      <c r="F427" s="6">
        <v>4.4279999999999999</v>
      </c>
      <c r="G427" s="6">
        <v>4.75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6.8970000000000002</v>
      </c>
      <c r="N427">
        <v>35.084000000000003</v>
      </c>
    </row>
    <row r="428" spans="1:14">
      <c r="A428">
        <v>9102</v>
      </c>
      <c r="B428" t="s">
        <v>342</v>
      </c>
      <c r="C428" s="7">
        <v>42338</v>
      </c>
      <c r="D428" s="5">
        <v>2</v>
      </c>
      <c r="E428" s="12">
        <v>17.228999999999999</v>
      </c>
      <c r="F428" s="6">
        <v>0.34699999999999998</v>
      </c>
      <c r="G428" s="6">
        <v>1.4999999999999999E-2</v>
      </c>
      <c r="H428" s="6">
        <v>25.927</v>
      </c>
      <c r="I428" s="6">
        <v>207.18</v>
      </c>
      <c r="J428" s="6">
        <v>26.14</v>
      </c>
      <c r="K428" s="6">
        <v>155.113</v>
      </c>
      <c r="L428" s="6">
        <v>26.14</v>
      </c>
      <c r="M428" s="6">
        <v>16.896999999999998</v>
      </c>
      <c r="N428">
        <v>0.105</v>
      </c>
    </row>
    <row r="429" spans="1:14">
      <c r="A429">
        <v>9099</v>
      </c>
      <c r="B429" t="s">
        <v>343</v>
      </c>
      <c r="C429" s="7">
        <v>42338</v>
      </c>
      <c r="D429" s="5">
        <v>30</v>
      </c>
      <c r="E429" s="12">
        <v>54.65</v>
      </c>
      <c r="F429" s="6">
        <v>37.856000000000002</v>
      </c>
      <c r="G429" s="6">
        <v>8.57</v>
      </c>
      <c r="H429" s="6">
        <v>2588.4989999999998</v>
      </c>
      <c r="I429" s="6">
        <v>2938.9</v>
      </c>
      <c r="J429" s="6">
        <v>1.43</v>
      </c>
      <c r="K429" s="6">
        <v>348.971</v>
      </c>
      <c r="L429" s="6">
        <v>0</v>
      </c>
      <c r="M429" s="6">
        <v>25.364000000000001</v>
      </c>
      <c r="N429">
        <v>169.22200000000001</v>
      </c>
    </row>
    <row r="430" spans="1:14">
      <c r="A430">
        <v>9098</v>
      </c>
      <c r="B430" t="s">
        <v>344</v>
      </c>
      <c r="C430" s="7">
        <v>42338</v>
      </c>
      <c r="D430" s="5">
        <v>30</v>
      </c>
      <c r="E430" s="12">
        <v>67.537999999999997</v>
      </c>
      <c r="F430" s="6">
        <v>46.781999999999996</v>
      </c>
      <c r="G430" s="6">
        <v>11.287000000000001</v>
      </c>
      <c r="H430" s="6">
        <v>3409.5140000000001</v>
      </c>
      <c r="I430" s="6">
        <v>3803.86</v>
      </c>
      <c r="J430" s="6">
        <v>1.89</v>
      </c>
      <c r="K430" s="6">
        <v>392.45600000000002</v>
      </c>
      <c r="L430" s="6">
        <v>0</v>
      </c>
      <c r="M430" s="6">
        <v>32.042999999999999</v>
      </c>
      <c r="N430">
        <v>222.89400000000001</v>
      </c>
    </row>
    <row r="431" spans="1:14">
      <c r="A431">
        <v>9097</v>
      </c>
      <c r="B431" t="s">
        <v>984</v>
      </c>
      <c r="C431" s="7">
        <v>42338</v>
      </c>
      <c r="D431" s="5">
        <v>0</v>
      </c>
      <c r="E431" s="12">
        <v>1.0999999999999999E-2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1.0999999999999999E-2</v>
      </c>
      <c r="N431">
        <v>0</v>
      </c>
    </row>
    <row r="432" spans="1:14">
      <c r="A432">
        <v>9095</v>
      </c>
      <c r="B432" t="s">
        <v>345</v>
      </c>
      <c r="C432" s="7">
        <v>42338</v>
      </c>
      <c r="D432" s="5">
        <v>29</v>
      </c>
      <c r="E432" s="12">
        <v>43.941000000000003</v>
      </c>
      <c r="F432" s="6">
        <v>0</v>
      </c>
      <c r="G432" s="6">
        <v>3.3820000000000001</v>
      </c>
      <c r="H432" s="6">
        <v>5809.5929999999998</v>
      </c>
      <c r="I432" s="6">
        <v>6295.4</v>
      </c>
      <c r="J432" s="6">
        <v>37.07</v>
      </c>
      <c r="K432" s="6">
        <v>448.73700000000002</v>
      </c>
      <c r="L432" s="6">
        <v>37.07</v>
      </c>
      <c r="M432" s="6">
        <v>47.323</v>
      </c>
      <c r="N432">
        <v>23.52</v>
      </c>
    </row>
    <row r="433" spans="1:14">
      <c r="A433">
        <v>9096</v>
      </c>
      <c r="B433" t="s">
        <v>346</v>
      </c>
      <c r="C433" s="7">
        <v>42338</v>
      </c>
      <c r="D433" s="5">
        <v>30</v>
      </c>
      <c r="E433" s="12">
        <v>82.2</v>
      </c>
      <c r="F433" s="6">
        <v>73.863</v>
      </c>
      <c r="G433" s="6">
        <v>11.742000000000001</v>
      </c>
      <c r="H433" s="6">
        <v>3031.3440000000001</v>
      </c>
      <c r="I433" s="6">
        <v>3405.8</v>
      </c>
      <c r="J433" s="6">
        <v>2.0299999999999998</v>
      </c>
      <c r="K433" s="6">
        <v>372.42599999999999</v>
      </c>
      <c r="L433" s="6">
        <v>0</v>
      </c>
      <c r="M433" s="6">
        <v>20.079000000000001</v>
      </c>
      <c r="N433">
        <v>122.342</v>
      </c>
    </row>
    <row r="434" spans="1:14">
      <c r="A434">
        <v>9101</v>
      </c>
      <c r="B434" t="s">
        <v>347</v>
      </c>
      <c r="C434" s="7">
        <v>42338</v>
      </c>
      <c r="D434" s="5">
        <v>30</v>
      </c>
      <c r="E434" s="12">
        <v>31.63</v>
      </c>
      <c r="F434" s="6">
        <v>0.85499999999999998</v>
      </c>
      <c r="G434" s="6">
        <v>0.98899999999999999</v>
      </c>
      <c r="H434" s="6">
        <v>1699.3920000000001</v>
      </c>
      <c r="I434" s="6">
        <v>1930.43</v>
      </c>
      <c r="J434" s="6">
        <v>0</v>
      </c>
      <c r="K434" s="6">
        <v>231.03800000000001</v>
      </c>
      <c r="L434" s="6">
        <v>0</v>
      </c>
      <c r="M434" s="6">
        <v>31.763999999999999</v>
      </c>
      <c r="N434">
        <v>6.88</v>
      </c>
    </row>
    <row r="435" spans="1:14">
      <c r="A435">
        <v>9100</v>
      </c>
      <c r="B435" t="s">
        <v>348</v>
      </c>
      <c r="C435" s="7">
        <v>42338</v>
      </c>
      <c r="D435" s="5">
        <v>30</v>
      </c>
      <c r="E435" s="12">
        <v>43.01</v>
      </c>
      <c r="F435" s="6">
        <v>1.0740000000000001</v>
      </c>
      <c r="G435" s="6">
        <v>6.375</v>
      </c>
      <c r="H435" s="6">
        <v>2526.9589999999998</v>
      </c>
      <c r="I435" s="6">
        <v>2802.83</v>
      </c>
      <c r="J435" s="6">
        <v>1</v>
      </c>
      <c r="K435" s="6">
        <v>274.87099999999998</v>
      </c>
      <c r="L435" s="6">
        <v>0</v>
      </c>
      <c r="M435" s="6">
        <v>48.311</v>
      </c>
      <c r="N435">
        <v>422.83199999999999</v>
      </c>
    </row>
    <row r="436" spans="1:14">
      <c r="A436">
        <v>9103</v>
      </c>
      <c r="B436" t="s">
        <v>349</v>
      </c>
      <c r="C436" s="7">
        <v>42338</v>
      </c>
      <c r="D436" s="5">
        <v>0</v>
      </c>
      <c r="E436" s="12">
        <v>24.190999999999999</v>
      </c>
      <c r="F436" s="6">
        <v>1E-3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24.19</v>
      </c>
      <c r="N436">
        <v>0</v>
      </c>
    </row>
    <row r="437" spans="1:14">
      <c r="A437">
        <v>9104</v>
      </c>
      <c r="B437" t="s">
        <v>350</v>
      </c>
      <c r="C437" s="7">
        <v>42338</v>
      </c>
      <c r="D437" s="5">
        <v>30</v>
      </c>
      <c r="E437" s="12">
        <v>38.805999999999997</v>
      </c>
      <c r="F437" s="6">
        <v>34.881999999999998</v>
      </c>
      <c r="G437" s="6">
        <v>5.3120000000000003</v>
      </c>
      <c r="H437" s="6">
        <v>1370.89</v>
      </c>
      <c r="I437" s="6">
        <v>1674.29</v>
      </c>
      <c r="J437" s="6">
        <v>18.920000000000002</v>
      </c>
      <c r="K437" s="6">
        <v>284.48</v>
      </c>
      <c r="L437" s="6">
        <v>18</v>
      </c>
      <c r="M437" s="6">
        <v>9.2360000000000007</v>
      </c>
      <c r="N437">
        <v>55.328000000000003</v>
      </c>
    </row>
    <row r="438" spans="1:14">
      <c r="A438">
        <v>9203</v>
      </c>
      <c r="B438" t="s">
        <v>351</v>
      </c>
      <c r="C438" s="7">
        <v>42338</v>
      </c>
      <c r="D438" s="5">
        <v>30</v>
      </c>
      <c r="E438" s="12">
        <v>117.093</v>
      </c>
      <c r="F438" s="6">
        <v>0.158</v>
      </c>
      <c r="G438" s="6">
        <v>0.16900000000000001</v>
      </c>
      <c r="H438" s="6">
        <v>288.803</v>
      </c>
      <c r="I438" s="6">
        <v>410.13</v>
      </c>
      <c r="J438" s="6">
        <v>0</v>
      </c>
      <c r="K438" s="6">
        <v>121.327</v>
      </c>
      <c r="L438" s="6">
        <v>0</v>
      </c>
      <c r="M438" s="6">
        <v>117.104</v>
      </c>
      <c r="N438">
        <v>1.17</v>
      </c>
    </row>
    <row r="439" spans="1:14">
      <c r="A439">
        <v>9185</v>
      </c>
      <c r="B439" t="s">
        <v>352</v>
      </c>
      <c r="C439" s="7">
        <v>42338</v>
      </c>
      <c r="D439" s="5">
        <v>30</v>
      </c>
      <c r="E439" s="12">
        <v>17.045000000000002</v>
      </c>
      <c r="F439" s="6">
        <v>0.79900000000000004</v>
      </c>
      <c r="G439" s="6">
        <v>0.88100000000000001</v>
      </c>
      <c r="H439" s="6">
        <v>1512.1110000000001</v>
      </c>
      <c r="I439" s="6">
        <v>1676.57</v>
      </c>
      <c r="J439" s="6">
        <v>0</v>
      </c>
      <c r="K439" s="6">
        <v>164.459</v>
      </c>
      <c r="L439" s="6">
        <v>0</v>
      </c>
      <c r="M439" s="6">
        <v>17.126999999999999</v>
      </c>
      <c r="N439">
        <v>6.1219999999999999</v>
      </c>
    </row>
    <row r="440" spans="1:14">
      <c r="A440">
        <v>9189</v>
      </c>
      <c r="B440" t="s">
        <v>353</v>
      </c>
      <c r="C440" s="7">
        <v>42338</v>
      </c>
      <c r="D440" s="5">
        <v>30</v>
      </c>
      <c r="E440" s="12">
        <v>15.589</v>
      </c>
      <c r="F440" s="6">
        <v>1.0409999999999999</v>
      </c>
      <c r="G440" s="6">
        <v>13.984</v>
      </c>
      <c r="H440" s="6">
        <v>1976.229</v>
      </c>
      <c r="I440" s="6">
        <v>2167.88</v>
      </c>
      <c r="J440" s="6">
        <v>2.61</v>
      </c>
      <c r="K440" s="6">
        <v>189.041</v>
      </c>
      <c r="L440" s="6">
        <v>0</v>
      </c>
      <c r="M440" s="6">
        <v>28.532</v>
      </c>
      <c r="N440">
        <v>132.55699999999999</v>
      </c>
    </row>
    <row r="441" spans="1:14">
      <c r="A441">
        <v>9184</v>
      </c>
      <c r="B441" t="s">
        <v>354</v>
      </c>
      <c r="C441" s="7">
        <v>42338</v>
      </c>
      <c r="D441" s="5">
        <v>30</v>
      </c>
      <c r="E441" s="12">
        <v>17.800999999999998</v>
      </c>
      <c r="F441" s="6">
        <v>0.64600000000000002</v>
      </c>
      <c r="G441" s="6">
        <v>0.77300000000000002</v>
      </c>
      <c r="H441" s="6">
        <v>1327.1089999999999</v>
      </c>
      <c r="I441" s="6">
        <v>1503.43</v>
      </c>
      <c r="J441" s="6">
        <v>0</v>
      </c>
      <c r="K441" s="6">
        <v>176.321</v>
      </c>
      <c r="L441" s="6">
        <v>0</v>
      </c>
      <c r="M441" s="6">
        <v>17.928000000000001</v>
      </c>
      <c r="N441">
        <v>5.3730000000000002</v>
      </c>
    </row>
    <row r="442" spans="1:14">
      <c r="A442">
        <v>9188</v>
      </c>
      <c r="B442" t="s">
        <v>355</v>
      </c>
      <c r="C442" s="7">
        <v>42338</v>
      </c>
      <c r="D442" s="5">
        <v>29</v>
      </c>
      <c r="E442" s="12">
        <v>31.527999999999999</v>
      </c>
      <c r="F442" s="6">
        <v>0.46100000000000002</v>
      </c>
      <c r="G442" s="6">
        <v>0.54900000000000004</v>
      </c>
      <c r="H442" s="6">
        <v>906.01300000000003</v>
      </c>
      <c r="I442" s="6">
        <v>1060.03</v>
      </c>
      <c r="J442" s="6">
        <v>0</v>
      </c>
      <c r="K442" s="6">
        <v>154.017</v>
      </c>
      <c r="L442" s="6">
        <v>0</v>
      </c>
      <c r="M442" s="6">
        <v>31.616</v>
      </c>
      <c r="N442">
        <v>42.308</v>
      </c>
    </row>
    <row r="443" spans="1:14">
      <c r="A443">
        <v>9455</v>
      </c>
      <c r="B443" t="s">
        <v>356</v>
      </c>
      <c r="C443" s="7">
        <v>42338</v>
      </c>
      <c r="D443" s="5">
        <v>30</v>
      </c>
      <c r="E443" s="12">
        <v>24.838999999999999</v>
      </c>
      <c r="F443" s="6">
        <v>1.052</v>
      </c>
      <c r="G443" s="6">
        <v>9.0340000000000007</v>
      </c>
      <c r="H443" s="6">
        <v>2037.1990000000001</v>
      </c>
      <c r="I443" s="6">
        <v>2252.7199999999998</v>
      </c>
      <c r="J443" s="6">
        <v>1.59</v>
      </c>
      <c r="K443" s="6">
        <v>213.93100000000001</v>
      </c>
      <c r="L443" s="6">
        <v>0</v>
      </c>
      <c r="M443" s="6">
        <v>32.820999999999998</v>
      </c>
      <c r="N443">
        <v>146.86799999999999</v>
      </c>
    </row>
    <row r="444" spans="1:14">
      <c r="A444">
        <v>9454</v>
      </c>
      <c r="B444" t="s">
        <v>357</v>
      </c>
      <c r="C444" s="7">
        <v>42338</v>
      </c>
      <c r="D444" s="5">
        <v>30</v>
      </c>
      <c r="E444" s="12">
        <v>15.525</v>
      </c>
      <c r="F444" s="6">
        <v>0.65700000000000003</v>
      </c>
      <c r="G444" s="6">
        <v>5.9130000000000003</v>
      </c>
      <c r="H444" s="6">
        <v>1333.472</v>
      </c>
      <c r="I444" s="6">
        <v>1511.17</v>
      </c>
      <c r="J444" s="6">
        <v>1.04</v>
      </c>
      <c r="K444" s="6">
        <v>176.65799999999999</v>
      </c>
      <c r="L444" s="6">
        <v>0</v>
      </c>
      <c r="M444" s="6">
        <v>20.780999999999999</v>
      </c>
      <c r="N444">
        <v>96.134</v>
      </c>
    </row>
    <row r="445" spans="1:14">
      <c r="A445">
        <v>9453</v>
      </c>
      <c r="B445" t="s">
        <v>358</v>
      </c>
      <c r="C445" s="7">
        <v>42338</v>
      </c>
      <c r="D445" s="5">
        <v>30</v>
      </c>
      <c r="E445" s="12">
        <v>23.033000000000001</v>
      </c>
      <c r="F445" s="6">
        <v>1.046</v>
      </c>
      <c r="G445" s="6">
        <v>7.923</v>
      </c>
      <c r="H445" s="6">
        <v>1786.8579999999999</v>
      </c>
      <c r="I445" s="6">
        <v>2306.4299999999998</v>
      </c>
      <c r="J445" s="6">
        <v>1.4</v>
      </c>
      <c r="K445" s="6">
        <v>518.17200000000003</v>
      </c>
      <c r="L445" s="6">
        <v>0</v>
      </c>
      <c r="M445" s="6">
        <v>29.91</v>
      </c>
      <c r="N445">
        <v>128.821</v>
      </c>
    </row>
    <row r="446" spans="1:14">
      <c r="A446">
        <v>9204</v>
      </c>
      <c r="B446" t="s">
        <v>359</v>
      </c>
      <c r="C446" s="7">
        <v>42338</v>
      </c>
      <c r="D446" s="5">
        <v>30</v>
      </c>
      <c r="E446" s="12">
        <v>39.164000000000001</v>
      </c>
      <c r="F446" s="6">
        <v>0.878</v>
      </c>
      <c r="G446" s="6">
        <v>0.94399999999999995</v>
      </c>
      <c r="H446" s="6">
        <v>1622.6559999999999</v>
      </c>
      <c r="I446" s="6">
        <v>1814.63</v>
      </c>
      <c r="J446" s="6">
        <v>0</v>
      </c>
      <c r="K446" s="6">
        <v>191.97399999999999</v>
      </c>
      <c r="L446" s="6">
        <v>0</v>
      </c>
      <c r="M446" s="6">
        <v>39.229999999999997</v>
      </c>
      <c r="N446">
        <v>6.569</v>
      </c>
    </row>
    <row r="447" spans="1:14">
      <c r="A447">
        <v>9205</v>
      </c>
      <c r="B447" t="s">
        <v>360</v>
      </c>
      <c r="C447" s="7">
        <v>42338</v>
      </c>
      <c r="D447" s="5">
        <v>30</v>
      </c>
      <c r="E447" s="12">
        <v>52.959000000000003</v>
      </c>
      <c r="F447" s="6">
        <v>1.179</v>
      </c>
      <c r="G447" s="6">
        <v>1.3380000000000001</v>
      </c>
      <c r="H447" s="6">
        <v>2210.8989999999999</v>
      </c>
      <c r="I447" s="6">
        <v>2434.04</v>
      </c>
      <c r="J447" s="6">
        <v>0.01</v>
      </c>
      <c r="K447" s="6">
        <v>223.131</v>
      </c>
      <c r="L447" s="6">
        <v>0</v>
      </c>
      <c r="M447" s="6">
        <v>53.118000000000002</v>
      </c>
      <c r="N447">
        <v>103.24299999999999</v>
      </c>
    </row>
    <row r="448" spans="1:14">
      <c r="A448">
        <v>9187</v>
      </c>
      <c r="B448" t="s">
        <v>361</v>
      </c>
      <c r="C448" s="7">
        <v>42338</v>
      </c>
      <c r="D448" s="5">
        <v>30</v>
      </c>
      <c r="E448" s="12">
        <v>10.071999999999999</v>
      </c>
      <c r="F448" s="6">
        <v>0.373</v>
      </c>
      <c r="G448" s="6">
        <v>0.44900000000000001</v>
      </c>
      <c r="H448" s="6">
        <v>771.15599999999995</v>
      </c>
      <c r="I448" s="6">
        <v>896.37</v>
      </c>
      <c r="J448" s="6">
        <v>0</v>
      </c>
      <c r="K448" s="6">
        <v>125.214</v>
      </c>
      <c r="L448" s="6">
        <v>0</v>
      </c>
      <c r="M448" s="6">
        <v>10.148</v>
      </c>
      <c r="N448">
        <v>3.1219999999999999</v>
      </c>
    </row>
    <row r="449" spans="1:14">
      <c r="A449">
        <v>9186</v>
      </c>
      <c r="B449" t="s">
        <v>362</v>
      </c>
      <c r="C449" s="7">
        <v>42338</v>
      </c>
      <c r="D449" s="5">
        <v>30</v>
      </c>
      <c r="E449" s="12">
        <v>27.625</v>
      </c>
      <c r="F449" s="6">
        <v>1.665</v>
      </c>
      <c r="G449" s="6">
        <v>17.809999999999999</v>
      </c>
      <c r="H449" s="6">
        <v>2516.8919999999998</v>
      </c>
      <c r="I449" s="6">
        <v>2737.89</v>
      </c>
      <c r="J449" s="6">
        <v>3.32</v>
      </c>
      <c r="K449" s="6">
        <v>217.678</v>
      </c>
      <c r="L449" s="6">
        <v>0</v>
      </c>
      <c r="M449" s="6">
        <v>43.77</v>
      </c>
      <c r="N449">
        <v>168.822</v>
      </c>
    </row>
    <row r="450" spans="1:14">
      <c r="A450">
        <v>9206</v>
      </c>
      <c r="B450" t="s">
        <v>363</v>
      </c>
      <c r="C450" s="7">
        <v>42338</v>
      </c>
      <c r="D450" s="5">
        <v>30</v>
      </c>
      <c r="E450" s="12">
        <v>9.5090000000000003</v>
      </c>
      <c r="F450" s="6">
        <v>0.69799999999999995</v>
      </c>
      <c r="G450" s="6">
        <v>9.8979999999999997</v>
      </c>
      <c r="H450" s="6">
        <v>1398.7170000000001</v>
      </c>
      <c r="I450" s="6">
        <v>1595.69</v>
      </c>
      <c r="J450" s="6">
        <v>1.84</v>
      </c>
      <c r="K450" s="6">
        <v>195.13300000000001</v>
      </c>
      <c r="L450" s="6">
        <v>0</v>
      </c>
      <c r="M450" s="6">
        <v>18.709</v>
      </c>
      <c r="N450">
        <v>93.82</v>
      </c>
    </row>
    <row r="451" spans="1:14">
      <c r="A451">
        <v>9207</v>
      </c>
      <c r="B451" t="s">
        <v>364</v>
      </c>
      <c r="C451" s="7">
        <v>42338</v>
      </c>
      <c r="D451" s="5">
        <v>30</v>
      </c>
      <c r="E451" s="12">
        <v>89.063999999999993</v>
      </c>
      <c r="F451" s="6">
        <v>1.181</v>
      </c>
      <c r="G451" s="6">
        <v>8.0549999999999997</v>
      </c>
      <c r="H451" s="6">
        <v>2398.9389999999999</v>
      </c>
      <c r="I451" s="6">
        <v>2611.7199999999998</v>
      </c>
      <c r="J451" s="6">
        <v>1.35</v>
      </c>
      <c r="K451" s="6">
        <v>211.43100000000001</v>
      </c>
      <c r="L451" s="6">
        <v>0</v>
      </c>
      <c r="M451" s="6">
        <v>95.938000000000002</v>
      </c>
      <c r="N451">
        <v>93.418999999999997</v>
      </c>
    </row>
    <row r="452" spans="1:14">
      <c r="A452">
        <v>6041</v>
      </c>
      <c r="B452" t="s">
        <v>669</v>
      </c>
      <c r="C452" s="7">
        <v>42338</v>
      </c>
      <c r="D452" s="5">
        <v>30</v>
      </c>
      <c r="E452" s="12">
        <v>0</v>
      </c>
      <c r="F452" s="6">
        <v>0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0</v>
      </c>
      <c r="N452">
        <v>7.45</v>
      </c>
    </row>
    <row r="453" spans="1:14">
      <c r="A453">
        <v>8913</v>
      </c>
      <c r="B453" t="s">
        <v>365</v>
      </c>
      <c r="C453" s="7">
        <v>42338</v>
      </c>
      <c r="D453" s="5">
        <v>30</v>
      </c>
      <c r="E453" s="12">
        <v>19.311</v>
      </c>
      <c r="F453" s="6">
        <v>2.0009999999999999</v>
      </c>
      <c r="G453" s="6">
        <v>5.6870000000000003</v>
      </c>
      <c r="H453" s="6">
        <v>2392.6660000000002</v>
      </c>
      <c r="I453" s="6">
        <v>2666.11</v>
      </c>
      <c r="J453" s="6">
        <v>0.78</v>
      </c>
      <c r="K453" s="6">
        <v>272.66399999999999</v>
      </c>
      <c r="L453" s="6">
        <v>0</v>
      </c>
      <c r="M453" s="6">
        <v>22.997</v>
      </c>
      <c r="N453">
        <v>157.62100000000001</v>
      </c>
    </row>
    <row r="454" spans="1:14">
      <c r="A454">
        <v>8900</v>
      </c>
      <c r="B454" t="s">
        <v>366</v>
      </c>
      <c r="C454" s="7">
        <v>42338</v>
      </c>
      <c r="D454" s="5">
        <v>30</v>
      </c>
      <c r="E454" s="12">
        <v>22.869</v>
      </c>
      <c r="F454" s="6">
        <v>2.2480000000000002</v>
      </c>
      <c r="G454" s="6">
        <v>6.5279999999999996</v>
      </c>
      <c r="H454" s="6">
        <v>2746.2150000000001</v>
      </c>
      <c r="I454" s="6">
        <v>3039.23</v>
      </c>
      <c r="J454" s="6">
        <v>0.9</v>
      </c>
      <c r="K454" s="6">
        <v>292.11500000000001</v>
      </c>
      <c r="L454" s="6">
        <v>0</v>
      </c>
      <c r="M454" s="6">
        <v>27.149000000000001</v>
      </c>
      <c r="N454">
        <v>180.911</v>
      </c>
    </row>
    <row r="455" spans="1:14">
      <c r="A455">
        <v>8912</v>
      </c>
      <c r="B455" t="s">
        <v>367</v>
      </c>
      <c r="C455" s="7">
        <v>42338</v>
      </c>
      <c r="D455" s="5">
        <v>30</v>
      </c>
      <c r="E455" s="12">
        <v>26.719000000000001</v>
      </c>
      <c r="F455" s="6">
        <v>0.96599999999999997</v>
      </c>
      <c r="G455" s="6">
        <v>1.871</v>
      </c>
      <c r="H455" s="6">
        <v>1915.896</v>
      </c>
      <c r="I455" s="6">
        <v>2303.25</v>
      </c>
      <c r="J455" s="6">
        <v>0.08</v>
      </c>
      <c r="K455" s="6">
        <v>387.274</v>
      </c>
      <c r="L455" s="6">
        <v>0</v>
      </c>
      <c r="M455" s="6">
        <v>27.623999999999999</v>
      </c>
      <c r="N455">
        <v>304.68799999999999</v>
      </c>
    </row>
    <row r="456" spans="1:14">
      <c r="A456">
        <v>8914</v>
      </c>
      <c r="B456" t="s">
        <v>368</v>
      </c>
      <c r="C456" s="7">
        <v>42338</v>
      </c>
      <c r="D456" s="5">
        <v>29</v>
      </c>
      <c r="E456" s="12">
        <v>12.43</v>
      </c>
      <c r="F456" s="6">
        <v>1.3089999999999999</v>
      </c>
      <c r="G456" s="6">
        <v>1.1180000000000001</v>
      </c>
      <c r="H456" s="6">
        <v>1469.078</v>
      </c>
      <c r="I456" s="6">
        <v>1655.93</v>
      </c>
      <c r="J456" s="6">
        <v>0</v>
      </c>
      <c r="K456" s="6">
        <v>186.852</v>
      </c>
      <c r="L456" s="6">
        <v>0</v>
      </c>
      <c r="M456" s="6">
        <v>12.239000000000001</v>
      </c>
      <c r="N456">
        <v>16.727</v>
      </c>
    </row>
    <row r="457" spans="1:14">
      <c r="A457">
        <v>8915</v>
      </c>
      <c r="B457" t="s">
        <v>369</v>
      </c>
      <c r="C457" s="7">
        <v>42338</v>
      </c>
      <c r="D457" s="5">
        <v>27</v>
      </c>
      <c r="E457" s="12">
        <v>27.855</v>
      </c>
      <c r="F457" s="6">
        <v>1.4930000000000001</v>
      </c>
      <c r="G457" s="6">
        <v>1.296</v>
      </c>
      <c r="H457" s="6">
        <v>1702.155</v>
      </c>
      <c r="I457" s="6">
        <v>1936.83</v>
      </c>
      <c r="J457" s="6">
        <v>0</v>
      </c>
      <c r="K457" s="6">
        <v>234.67500000000001</v>
      </c>
      <c r="L457" s="6">
        <v>0</v>
      </c>
      <c r="M457" s="6">
        <v>27.658000000000001</v>
      </c>
      <c r="N457">
        <v>4.2480000000000002</v>
      </c>
    </row>
    <row r="458" spans="1:14">
      <c r="A458">
        <v>8916</v>
      </c>
      <c r="B458" t="s">
        <v>370</v>
      </c>
      <c r="C458" s="7">
        <v>42338</v>
      </c>
      <c r="D458" s="5">
        <v>30</v>
      </c>
      <c r="E458" s="12">
        <v>11.307</v>
      </c>
      <c r="F458" s="6">
        <v>1.268</v>
      </c>
      <c r="G458" s="6">
        <v>1.018</v>
      </c>
      <c r="H458" s="6">
        <v>1338.085</v>
      </c>
      <c r="I458" s="6">
        <v>1552.73</v>
      </c>
      <c r="J458" s="6">
        <v>0</v>
      </c>
      <c r="K458" s="6">
        <v>214.64500000000001</v>
      </c>
      <c r="L458" s="6">
        <v>0</v>
      </c>
      <c r="M458" s="6">
        <v>11.057</v>
      </c>
      <c r="N458">
        <v>15.234999999999999</v>
      </c>
    </row>
    <row r="459" spans="1:14">
      <c r="A459">
        <v>8797</v>
      </c>
      <c r="B459" t="s">
        <v>371</v>
      </c>
      <c r="C459" s="7">
        <v>42338</v>
      </c>
      <c r="D459" s="5">
        <v>30</v>
      </c>
      <c r="E459" s="12">
        <v>29.44</v>
      </c>
      <c r="F459" s="6">
        <v>0.51600000000000001</v>
      </c>
      <c r="G459" s="6">
        <v>0.41699999999999998</v>
      </c>
      <c r="H459" s="6">
        <v>548.90200000000004</v>
      </c>
      <c r="I459" s="6">
        <v>720.13</v>
      </c>
      <c r="J459" s="6">
        <v>0</v>
      </c>
      <c r="K459" s="6">
        <v>171.22800000000001</v>
      </c>
      <c r="L459" s="6">
        <v>0</v>
      </c>
      <c r="M459" s="6">
        <v>29.341000000000001</v>
      </c>
      <c r="N459">
        <v>1.37</v>
      </c>
    </row>
    <row r="460" spans="1:14">
      <c r="A460">
        <v>8977</v>
      </c>
      <c r="B460" t="s">
        <v>372</v>
      </c>
      <c r="C460" s="7">
        <v>42338</v>
      </c>
      <c r="D460" s="5">
        <v>30</v>
      </c>
      <c r="E460" s="12">
        <v>44.493000000000002</v>
      </c>
      <c r="F460" s="6">
        <v>0.755</v>
      </c>
      <c r="G460" s="6">
        <v>0.73299999999999998</v>
      </c>
      <c r="H460" s="6">
        <v>969.93899999999996</v>
      </c>
      <c r="I460" s="6">
        <v>1305.17</v>
      </c>
      <c r="J460" s="6">
        <v>0</v>
      </c>
      <c r="K460" s="6">
        <v>335.23099999999999</v>
      </c>
      <c r="L460" s="6">
        <v>0</v>
      </c>
      <c r="M460" s="6">
        <v>44.470999999999997</v>
      </c>
      <c r="N460">
        <v>2.4039999999999999</v>
      </c>
    </row>
    <row r="461" spans="1:14">
      <c r="A461">
        <v>8978</v>
      </c>
      <c r="B461" t="s">
        <v>373</v>
      </c>
      <c r="C461" s="7">
        <v>42338</v>
      </c>
      <c r="D461" s="5">
        <v>30</v>
      </c>
      <c r="E461" s="12">
        <v>48.561</v>
      </c>
      <c r="F461" s="6">
        <v>1.383</v>
      </c>
      <c r="G461" s="6">
        <v>1.194</v>
      </c>
      <c r="H461" s="6">
        <v>1567.181</v>
      </c>
      <c r="I461" s="6">
        <v>1794.43</v>
      </c>
      <c r="J461" s="6">
        <v>0</v>
      </c>
      <c r="K461" s="6">
        <v>227.249</v>
      </c>
      <c r="L461" s="6">
        <v>0</v>
      </c>
      <c r="M461" s="6">
        <v>48.372</v>
      </c>
      <c r="N461">
        <v>3.911</v>
      </c>
    </row>
    <row r="462" spans="1:14">
      <c r="A462">
        <v>8980</v>
      </c>
      <c r="B462" t="s">
        <v>374</v>
      </c>
      <c r="C462" s="7">
        <v>42338</v>
      </c>
      <c r="D462" s="5">
        <v>30</v>
      </c>
      <c r="E462" s="12">
        <v>73.554000000000002</v>
      </c>
      <c r="F462" s="6">
        <v>2.7869999999999999</v>
      </c>
      <c r="G462" s="6">
        <v>9.8339999999999996</v>
      </c>
      <c r="H462" s="6">
        <v>3274.4540000000002</v>
      </c>
      <c r="I462" s="6">
        <v>3597.12</v>
      </c>
      <c r="J462" s="6">
        <v>1.49</v>
      </c>
      <c r="K462" s="6">
        <v>321.17599999999999</v>
      </c>
      <c r="L462" s="6">
        <v>0</v>
      </c>
      <c r="M462" s="6">
        <v>80.600999999999999</v>
      </c>
      <c r="N462">
        <v>125.529</v>
      </c>
    </row>
    <row r="463" spans="1:14">
      <c r="A463">
        <v>8974</v>
      </c>
      <c r="B463" t="s">
        <v>375</v>
      </c>
      <c r="C463" s="7">
        <v>42338</v>
      </c>
      <c r="D463" s="5">
        <v>30</v>
      </c>
      <c r="E463" s="12">
        <v>26.637</v>
      </c>
      <c r="F463" s="6">
        <v>1.02</v>
      </c>
      <c r="G463" s="6">
        <v>3.548</v>
      </c>
      <c r="H463" s="6">
        <v>1181.499</v>
      </c>
      <c r="I463" s="6">
        <v>1353.07</v>
      </c>
      <c r="J463" s="6">
        <v>0.54</v>
      </c>
      <c r="K463" s="6">
        <v>171.03100000000001</v>
      </c>
      <c r="L463" s="6">
        <v>0</v>
      </c>
      <c r="M463" s="6">
        <v>29.164999999999999</v>
      </c>
      <c r="N463">
        <v>45.293999999999997</v>
      </c>
    </row>
    <row r="464" spans="1:14">
      <c r="A464">
        <v>6057</v>
      </c>
      <c r="B464" t="s">
        <v>227</v>
      </c>
      <c r="C464" s="7">
        <v>42338</v>
      </c>
      <c r="D464" s="5">
        <v>30</v>
      </c>
      <c r="E464" s="12">
        <v>0</v>
      </c>
      <c r="F464" s="6">
        <v>0</v>
      </c>
      <c r="G464" s="6">
        <v>0</v>
      </c>
      <c r="H464" s="6">
        <v>0</v>
      </c>
      <c r="I464" s="6">
        <v>0</v>
      </c>
      <c r="J464" s="6">
        <v>0</v>
      </c>
      <c r="K464" s="6">
        <v>0</v>
      </c>
      <c r="L464" s="6">
        <v>0</v>
      </c>
      <c r="M464" s="6">
        <v>0</v>
      </c>
      <c r="N464">
        <v>0</v>
      </c>
    </row>
    <row r="465" spans="1:14">
      <c r="A465">
        <v>6012</v>
      </c>
      <c r="B465" t="s">
        <v>1042</v>
      </c>
      <c r="C465" s="7">
        <v>42338</v>
      </c>
      <c r="D465" s="5">
        <v>0</v>
      </c>
      <c r="E465" s="12">
        <v>0</v>
      </c>
      <c r="F465" s="6">
        <v>0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>
        <v>0</v>
      </c>
    </row>
    <row r="466" spans="1:14">
      <c r="A466">
        <v>9039</v>
      </c>
      <c r="B466" t="s">
        <v>376</v>
      </c>
      <c r="C466" s="7">
        <v>42338</v>
      </c>
      <c r="D466" s="5">
        <v>30</v>
      </c>
      <c r="E466" s="12">
        <v>25.890999999999998</v>
      </c>
      <c r="F466" s="6">
        <v>0.754</v>
      </c>
      <c r="G466" s="6">
        <v>0.92100000000000004</v>
      </c>
      <c r="H466" s="6">
        <v>1581.153</v>
      </c>
      <c r="I466" s="6">
        <v>1805.93</v>
      </c>
      <c r="J466" s="6">
        <v>0</v>
      </c>
      <c r="K466" s="6">
        <v>224.77699999999999</v>
      </c>
      <c r="L466" s="6">
        <v>0</v>
      </c>
      <c r="M466" s="6">
        <v>26.058</v>
      </c>
      <c r="N466">
        <v>6.4009999999999998</v>
      </c>
    </row>
    <row r="467" spans="1:14">
      <c r="A467">
        <v>9034</v>
      </c>
      <c r="B467" t="s">
        <v>377</v>
      </c>
      <c r="C467" s="7">
        <v>42338</v>
      </c>
      <c r="D467" s="5">
        <v>30</v>
      </c>
      <c r="E467" s="12">
        <v>29.331</v>
      </c>
      <c r="F467" s="6">
        <v>0.71599999999999997</v>
      </c>
      <c r="G467" s="6">
        <v>0.82499999999999996</v>
      </c>
      <c r="H467" s="6">
        <v>1419.04</v>
      </c>
      <c r="I467" s="6">
        <v>1635.23</v>
      </c>
      <c r="J467" s="6">
        <v>0</v>
      </c>
      <c r="K467" s="6">
        <v>216.19</v>
      </c>
      <c r="L467" s="6">
        <v>0</v>
      </c>
      <c r="M467" s="6">
        <v>29.44</v>
      </c>
      <c r="N467">
        <v>5.7439999999999998</v>
      </c>
    </row>
    <row r="468" spans="1:14">
      <c r="A468">
        <v>9035</v>
      </c>
      <c r="B468" t="s">
        <v>378</v>
      </c>
      <c r="C468" s="7">
        <v>42338</v>
      </c>
      <c r="D468" s="5">
        <v>20</v>
      </c>
      <c r="E468" s="12">
        <v>30.518000000000001</v>
      </c>
      <c r="F468" s="6">
        <v>0.76200000000000001</v>
      </c>
      <c r="G468" s="6">
        <v>15.518000000000001</v>
      </c>
      <c r="H468" s="6">
        <v>1224.162</v>
      </c>
      <c r="I468" s="6">
        <v>1469.48</v>
      </c>
      <c r="J468" s="6">
        <v>39.450000000000003</v>
      </c>
      <c r="K468" s="6">
        <v>205.86799999999999</v>
      </c>
      <c r="L468" s="6">
        <v>36.44</v>
      </c>
      <c r="M468" s="6">
        <v>45.274000000000001</v>
      </c>
      <c r="N468">
        <v>59.158999999999999</v>
      </c>
    </row>
    <row r="469" spans="1:14">
      <c r="A469">
        <v>9040</v>
      </c>
      <c r="B469" t="s">
        <v>379</v>
      </c>
      <c r="C469" s="7">
        <v>42338</v>
      </c>
      <c r="D469" s="5">
        <v>30</v>
      </c>
      <c r="E469" s="12">
        <v>19.382000000000001</v>
      </c>
      <c r="F469" s="6">
        <v>1.0409999999999999</v>
      </c>
      <c r="G469" s="6">
        <v>4.4260000000000002</v>
      </c>
      <c r="H469" s="6">
        <v>2014.8810000000001</v>
      </c>
      <c r="I469" s="6">
        <v>2268.4899999999998</v>
      </c>
      <c r="J469" s="6">
        <v>0.66</v>
      </c>
      <c r="K469" s="6">
        <v>252.94900000000001</v>
      </c>
      <c r="L469" s="6">
        <v>0</v>
      </c>
      <c r="M469" s="6">
        <v>22.766999999999999</v>
      </c>
      <c r="N469">
        <v>69.61</v>
      </c>
    </row>
    <row r="470" spans="1:14">
      <c r="A470">
        <v>9041</v>
      </c>
      <c r="B470" t="s">
        <v>380</v>
      </c>
      <c r="C470" s="7">
        <v>42338</v>
      </c>
      <c r="D470" s="5">
        <v>30</v>
      </c>
      <c r="E470" s="12">
        <v>22.646000000000001</v>
      </c>
      <c r="F470" s="6">
        <v>1.0569999999999999</v>
      </c>
      <c r="G470" s="6">
        <v>4.5629999999999997</v>
      </c>
      <c r="H470" s="6">
        <v>2077.3710000000001</v>
      </c>
      <c r="I470" s="6">
        <v>2329.11</v>
      </c>
      <c r="J470" s="6">
        <v>0.68</v>
      </c>
      <c r="K470" s="6">
        <v>251.059</v>
      </c>
      <c r="L470" s="6">
        <v>0</v>
      </c>
      <c r="M470" s="6">
        <v>26.152000000000001</v>
      </c>
      <c r="N470">
        <v>71.768000000000001</v>
      </c>
    </row>
    <row r="471" spans="1:14">
      <c r="A471">
        <v>9036</v>
      </c>
      <c r="B471" t="s">
        <v>381</v>
      </c>
      <c r="C471" s="7">
        <v>42338</v>
      </c>
      <c r="D471" s="5">
        <v>30</v>
      </c>
      <c r="E471" s="12">
        <v>30.099</v>
      </c>
      <c r="F471" s="6">
        <v>0.95699999999999996</v>
      </c>
      <c r="G471" s="6">
        <v>24.65</v>
      </c>
      <c r="H471" s="6">
        <v>1944.604</v>
      </c>
      <c r="I471" s="6">
        <v>2193.4</v>
      </c>
      <c r="J471" s="6">
        <v>4.7699999999999996</v>
      </c>
      <c r="K471" s="6">
        <v>244.02600000000001</v>
      </c>
      <c r="L471" s="6">
        <v>0</v>
      </c>
      <c r="M471" s="6">
        <v>53.792000000000002</v>
      </c>
      <c r="N471">
        <v>93.974999999999994</v>
      </c>
    </row>
    <row r="472" spans="1:14">
      <c r="A472">
        <v>9587</v>
      </c>
      <c r="B472" t="s">
        <v>685</v>
      </c>
      <c r="C472" s="7">
        <v>42338</v>
      </c>
      <c r="D472" s="5">
        <v>30</v>
      </c>
      <c r="E472" s="12">
        <v>26.995999999999999</v>
      </c>
      <c r="F472" s="6">
        <v>1.7729999999999999</v>
      </c>
      <c r="G472" s="6">
        <v>3.4569999999999999</v>
      </c>
      <c r="H472" s="6">
        <v>3568.8739999999998</v>
      </c>
      <c r="I472" s="6">
        <v>3970.25</v>
      </c>
      <c r="J472" s="6">
        <v>0.28000000000000003</v>
      </c>
      <c r="K472" s="6">
        <v>401.096</v>
      </c>
      <c r="L472" s="6">
        <v>0</v>
      </c>
      <c r="M472" s="6">
        <v>28.68</v>
      </c>
      <c r="N472">
        <v>140.44</v>
      </c>
    </row>
    <row r="473" spans="1:14">
      <c r="A473">
        <v>9592</v>
      </c>
      <c r="B473" t="s">
        <v>686</v>
      </c>
      <c r="C473" s="7">
        <v>42338</v>
      </c>
      <c r="D473" s="5">
        <v>30</v>
      </c>
      <c r="E473" s="12">
        <v>27.815000000000001</v>
      </c>
      <c r="F473" s="6">
        <v>1.758</v>
      </c>
      <c r="G473" s="6">
        <v>3.286</v>
      </c>
      <c r="H473" s="6">
        <v>3392.7049999999999</v>
      </c>
      <c r="I473" s="6">
        <v>3784.74</v>
      </c>
      <c r="J473" s="6">
        <v>0.27</v>
      </c>
      <c r="K473" s="6">
        <v>391.76499999999999</v>
      </c>
      <c r="L473" s="6">
        <v>0</v>
      </c>
      <c r="M473" s="6">
        <v>29.343</v>
      </c>
      <c r="N473">
        <v>133.50800000000001</v>
      </c>
    </row>
    <row r="474" spans="1:14">
      <c r="A474">
        <v>9591</v>
      </c>
      <c r="B474" t="s">
        <v>677</v>
      </c>
      <c r="C474" s="7">
        <v>42338</v>
      </c>
      <c r="D474" s="5">
        <v>30</v>
      </c>
      <c r="E474" s="12">
        <v>21.652999999999999</v>
      </c>
      <c r="F474" s="6">
        <v>1.3440000000000001</v>
      </c>
      <c r="G474" s="6">
        <v>2.613</v>
      </c>
      <c r="H474" s="6">
        <v>2697.5250000000001</v>
      </c>
      <c r="I474" s="6">
        <v>3052.68</v>
      </c>
      <c r="J474" s="6">
        <v>0.21</v>
      </c>
      <c r="K474" s="6">
        <v>354.94499999999999</v>
      </c>
      <c r="L474" s="6">
        <v>0</v>
      </c>
      <c r="M474" s="6">
        <v>22.922000000000001</v>
      </c>
      <c r="N474">
        <v>106.152</v>
      </c>
    </row>
    <row r="475" spans="1:14">
      <c r="A475">
        <v>9593</v>
      </c>
      <c r="B475" t="s">
        <v>687</v>
      </c>
      <c r="C475" s="7">
        <v>42338</v>
      </c>
      <c r="D475" s="5">
        <v>30</v>
      </c>
      <c r="E475" s="12">
        <v>13.465</v>
      </c>
      <c r="F475" s="6">
        <v>0.86299999999999999</v>
      </c>
      <c r="G475" s="6">
        <v>1.5920000000000001</v>
      </c>
      <c r="H475" s="6">
        <v>1721.8040000000001</v>
      </c>
      <c r="I475" s="6">
        <v>2025.21</v>
      </c>
      <c r="J475" s="6">
        <v>0.14000000000000001</v>
      </c>
      <c r="K475" s="6">
        <v>303.26600000000002</v>
      </c>
      <c r="L475" s="6">
        <v>0</v>
      </c>
      <c r="M475" s="6">
        <v>14.194000000000001</v>
      </c>
      <c r="N475">
        <v>67.626999999999995</v>
      </c>
    </row>
    <row r="476" spans="1:14">
      <c r="A476">
        <v>9675</v>
      </c>
      <c r="B476" t="s">
        <v>678</v>
      </c>
      <c r="C476" s="7">
        <v>42338</v>
      </c>
      <c r="D476" s="5">
        <v>30</v>
      </c>
      <c r="E476" s="12">
        <v>40.871000000000002</v>
      </c>
      <c r="F476" s="6">
        <v>1.829</v>
      </c>
      <c r="G476" s="6">
        <v>3.8860000000000001</v>
      </c>
      <c r="H476" s="6">
        <v>3825.3870000000002</v>
      </c>
      <c r="I476" s="6">
        <v>4169.57</v>
      </c>
      <c r="J476" s="6">
        <v>0.34</v>
      </c>
      <c r="K476" s="6">
        <v>343.84300000000002</v>
      </c>
      <c r="L476" s="6">
        <v>0</v>
      </c>
      <c r="M476" s="6">
        <v>42.927999999999997</v>
      </c>
      <c r="N476">
        <v>257.54300000000001</v>
      </c>
    </row>
    <row r="477" spans="1:14">
      <c r="A477">
        <v>9585</v>
      </c>
      <c r="B477" t="s">
        <v>695</v>
      </c>
      <c r="C477" s="7">
        <v>42338</v>
      </c>
      <c r="D477" s="5">
        <v>27</v>
      </c>
      <c r="E477" s="12">
        <v>36.557000000000002</v>
      </c>
      <c r="F477" s="6">
        <v>1.115</v>
      </c>
      <c r="G477" s="6">
        <v>2.8780000000000001</v>
      </c>
      <c r="H477" s="6">
        <v>2164.364</v>
      </c>
      <c r="I477" s="6">
        <v>2713.46</v>
      </c>
      <c r="J477" s="6">
        <v>0.33</v>
      </c>
      <c r="K477" s="6">
        <v>548.76599999999996</v>
      </c>
      <c r="L477" s="6">
        <v>0</v>
      </c>
      <c r="M477" s="6">
        <v>38.32</v>
      </c>
      <c r="N477">
        <v>184.309</v>
      </c>
    </row>
    <row r="478" spans="1:14">
      <c r="A478">
        <v>9580</v>
      </c>
      <c r="B478" t="s">
        <v>696</v>
      </c>
      <c r="C478" s="7">
        <v>42338</v>
      </c>
      <c r="D478" s="5">
        <v>0</v>
      </c>
      <c r="E478" s="12">
        <v>15.87</v>
      </c>
      <c r="F478" s="6">
        <v>0.86</v>
      </c>
      <c r="G478" s="6">
        <v>1.109</v>
      </c>
      <c r="H478" s="6">
        <v>1760.6469999999999</v>
      </c>
      <c r="I478" s="6">
        <v>1995.15</v>
      </c>
      <c r="J478" s="6">
        <v>0.02</v>
      </c>
      <c r="K478" s="6">
        <v>234.483</v>
      </c>
      <c r="L478" s="6">
        <v>0</v>
      </c>
      <c r="M478" s="6">
        <v>16.119</v>
      </c>
      <c r="N478">
        <v>79.941000000000003</v>
      </c>
    </row>
    <row r="479" spans="1:14">
      <c r="A479">
        <v>9674</v>
      </c>
      <c r="B479" t="s">
        <v>688</v>
      </c>
      <c r="C479" s="7">
        <v>42338</v>
      </c>
      <c r="D479" s="5">
        <v>30</v>
      </c>
      <c r="E479" s="12">
        <v>31.629000000000001</v>
      </c>
      <c r="F479" s="6">
        <v>1.26</v>
      </c>
      <c r="G479" s="6">
        <v>2.625</v>
      </c>
      <c r="H479" s="6">
        <v>2583.0859999999998</v>
      </c>
      <c r="I479" s="6">
        <v>2861.36</v>
      </c>
      <c r="J479" s="6">
        <v>0.23</v>
      </c>
      <c r="K479" s="6">
        <v>278.04399999999998</v>
      </c>
      <c r="L479" s="6">
        <v>0</v>
      </c>
      <c r="M479" s="6">
        <v>32.994</v>
      </c>
      <c r="N479">
        <v>173.905</v>
      </c>
    </row>
    <row r="480" spans="1:14">
      <c r="A480">
        <v>8833</v>
      </c>
      <c r="B480" t="s">
        <v>670</v>
      </c>
      <c r="C480" s="7">
        <v>42338</v>
      </c>
      <c r="D480" s="5">
        <v>29</v>
      </c>
      <c r="E480" s="12">
        <v>37.424999999999997</v>
      </c>
      <c r="F480" s="6">
        <v>0.45300000000000001</v>
      </c>
      <c r="G480" s="6">
        <v>1.1990000000000001</v>
      </c>
      <c r="H480" s="6">
        <v>1039.635</v>
      </c>
      <c r="I480" s="6">
        <v>1235.8499999999999</v>
      </c>
      <c r="J480" s="6">
        <v>0.12</v>
      </c>
      <c r="K480" s="6">
        <v>196.095</v>
      </c>
      <c r="L480" s="6">
        <v>0</v>
      </c>
      <c r="M480" s="6">
        <v>38.170999999999999</v>
      </c>
      <c r="N480">
        <v>55.344999999999999</v>
      </c>
    </row>
    <row r="481" spans="1:14">
      <c r="A481">
        <v>9481</v>
      </c>
      <c r="B481" t="s">
        <v>382</v>
      </c>
      <c r="C481" s="7">
        <v>42338</v>
      </c>
      <c r="D481" s="5">
        <v>0</v>
      </c>
      <c r="E481" s="12">
        <v>13.308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13.308</v>
      </c>
      <c r="N481">
        <v>0</v>
      </c>
    </row>
    <row r="482" spans="1:14">
      <c r="A482">
        <v>9480</v>
      </c>
      <c r="B482" t="s">
        <v>667</v>
      </c>
      <c r="C482" s="7">
        <v>42338</v>
      </c>
      <c r="D482" s="5">
        <v>30</v>
      </c>
      <c r="E482" s="12">
        <v>47.265999999999998</v>
      </c>
      <c r="F482" s="6">
        <v>0.60499999999999998</v>
      </c>
      <c r="G482" s="6">
        <v>0.8</v>
      </c>
      <c r="H482" s="6">
        <v>1244.3910000000001</v>
      </c>
      <c r="I482" s="6">
        <v>1522.39</v>
      </c>
      <c r="J482" s="6">
        <v>0.02</v>
      </c>
      <c r="K482" s="6">
        <v>277.97899999999998</v>
      </c>
      <c r="L482" s="6">
        <v>0</v>
      </c>
      <c r="M482" s="6">
        <v>47.460999999999999</v>
      </c>
      <c r="N482">
        <v>21.431999999999999</v>
      </c>
    </row>
    <row r="483" spans="1:14">
      <c r="A483">
        <v>8834</v>
      </c>
      <c r="B483" t="s">
        <v>671</v>
      </c>
      <c r="C483" s="7">
        <v>42338</v>
      </c>
      <c r="D483" s="5">
        <v>29</v>
      </c>
      <c r="E483" s="12">
        <v>50.122999999999998</v>
      </c>
      <c r="F483" s="6">
        <v>0.56999999999999995</v>
      </c>
      <c r="G483" s="6">
        <v>1.38</v>
      </c>
      <c r="H483" s="6">
        <v>1196.9059999999999</v>
      </c>
      <c r="I483" s="6">
        <v>1401.67</v>
      </c>
      <c r="J483" s="6">
        <v>0.14000000000000001</v>
      </c>
      <c r="K483" s="6">
        <v>204.624</v>
      </c>
      <c r="L483" s="6">
        <v>0</v>
      </c>
      <c r="M483" s="6">
        <v>50.933</v>
      </c>
      <c r="N483">
        <v>63.716999999999999</v>
      </c>
    </row>
    <row r="484" spans="1:14">
      <c r="A484">
        <v>8835</v>
      </c>
      <c r="B484" t="s">
        <v>672</v>
      </c>
      <c r="C484" s="7">
        <v>42338</v>
      </c>
      <c r="D484" s="5">
        <v>29</v>
      </c>
      <c r="E484" s="12">
        <v>35.220999999999997</v>
      </c>
      <c r="F484" s="6">
        <v>0.374</v>
      </c>
      <c r="G484" s="6">
        <v>0.99099999999999999</v>
      </c>
      <c r="H484" s="6">
        <v>859.47799999999995</v>
      </c>
      <c r="I484" s="6">
        <v>1046.33</v>
      </c>
      <c r="J484" s="6">
        <v>0.1</v>
      </c>
      <c r="K484" s="6">
        <v>186.75200000000001</v>
      </c>
      <c r="L484" s="6">
        <v>0</v>
      </c>
      <c r="M484" s="6">
        <v>35.838000000000001</v>
      </c>
      <c r="N484">
        <v>45.753999999999998</v>
      </c>
    </row>
    <row r="485" spans="1:14">
      <c r="A485">
        <v>9512</v>
      </c>
      <c r="B485" t="s">
        <v>383</v>
      </c>
      <c r="C485" s="7">
        <v>42338</v>
      </c>
      <c r="D485" s="5">
        <v>30</v>
      </c>
      <c r="E485" s="12">
        <v>51.137999999999998</v>
      </c>
      <c r="F485" s="6">
        <v>0.36399999999999999</v>
      </c>
      <c r="G485" s="6">
        <v>0.46600000000000003</v>
      </c>
      <c r="H485" s="6">
        <v>722.721</v>
      </c>
      <c r="I485" s="6">
        <v>973.08</v>
      </c>
      <c r="J485" s="6">
        <v>0.01</v>
      </c>
      <c r="K485" s="6">
        <v>250.34899999999999</v>
      </c>
      <c r="L485" s="6">
        <v>0</v>
      </c>
      <c r="M485" s="6">
        <v>51.24</v>
      </c>
      <c r="N485">
        <v>12.448</v>
      </c>
    </row>
    <row r="486" spans="1:14">
      <c r="A486">
        <v>9511</v>
      </c>
      <c r="B486" t="s">
        <v>384</v>
      </c>
      <c r="C486" s="7">
        <v>42338</v>
      </c>
      <c r="D486" s="5">
        <v>30</v>
      </c>
      <c r="E486" s="12">
        <v>52.326999999999998</v>
      </c>
      <c r="F486" s="6">
        <v>0.66500000000000004</v>
      </c>
      <c r="G486" s="6">
        <v>0.879</v>
      </c>
      <c r="H486" s="6">
        <v>1365.6669999999999</v>
      </c>
      <c r="I486" s="6">
        <v>1650.09</v>
      </c>
      <c r="J486" s="6">
        <v>0.02</v>
      </c>
      <c r="K486" s="6">
        <v>284.40300000000002</v>
      </c>
      <c r="L486" s="6">
        <v>0</v>
      </c>
      <c r="M486" s="6">
        <v>52.540999999999997</v>
      </c>
      <c r="N486">
        <v>23.521000000000001</v>
      </c>
    </row>
    <row r="487" spans="1:14">
      <c r="A487">
        <v>9680</v>
      </c>
      <c r="B487" t="s">
        <v>704</v>
      </c>
      <c r="C487" s="7">
        <v>42338</v>
      </c>
      <c r="D487" s="5">
        <v>16</v>
      </c>
      <c r="E487" s="12">
        <v>12.38</v>
      </c>
      <c r="F487" s="6">
        <v>0.34799999999999998</v>
      </c>
      <c r="G487" s="6">
        <v>0.38400000000000001</v>
      </c>
      <c r="H487" s="6">
        <v>659.09100000000001</v>
      </c>
      <c r="I487" s="6">
        <v>835.03</v>
      </c>
      <c r="J487" s="6">
        <v>0</v>
      </c>
      <c r="K487" s="6">
        <v>175.93899999999999</v>
      </c>
      <c r="L487" s="6">
        <v>0</v>
      </c>
      <c r="M487" s="6">
        <v>12.416</v>
      </c>
      <c r="N487">
        <v>14.342000000000001</v>
      </c>
    </row>
    <row r="488" spans="1:14">
      <c r="A488">
        <v>9681</v>
      </c>
      <c r="B488" t="s">
        <v>705</v>
      </c>
      <c r="C488" s="7">
        <v>42338</v>
      </c>
      <c r="D488" s="5">
        <v>30</v>
      </c>
      <c r="E488" s="12">
        <v>29.826000000000001</v>
      </c>
      <c r="F488" s="6">
        <v>0.86099999999999999</v>
      </c>
      <c r="G488" s="6">
        <v>1.113</v>
      </c>
      <c r="H488" s="6">
        <v>1911.5540000000001</v>
      </c>
      <c r="I488" s="6">
        <v>2154.0300000000002</v>
      </c>
      <c r="J488" s="6">
        <v>0</v>
      </c>
      <c r="K488" s="6">
        <v>242.476</v>
      </c>
      <c r="L488" s="6">
        <v>0</v>
      </c>
      <c r="M488" s="6">
        <v>30.077999999999999</v>
      </c>
      <c r="N488">
        <v>41.597000000000001</v>
      </c>
    </row>
    <row r="489" spans="1:14">
      <c r="A489">
        <v>9679</v>
      </c>
      <c r="B489" t="s">
        <v>706</v>
      </c>
      <c r="C489" s="7">
        <v>42338</v>
      </c>
      <c r="D489" s="5">
        <v>30</v>
      </c>
      <c r="E489" s="12">
        <v>35.509</v>
      </c>
      <c r="F489" s="6">
        <v>1.046</v>
      </c>
      <c r="G489" s="6">
        <v>1.1539999999999999</v>
      </c>
      <c r="H489" s="6">
        <v>1983.636</v>
      </c>
      <c r="I489" s="6">
        <v>2229.9299999999998</v>
      </c>
      <c r="J489" s="6">
        <v>0</v>
      </c>
      <c r="K489" s="6">
        <v>246.29400000000001</v>
      </c>
      <c r="L489" s="6">
        <v>0</v>
      </c>
      <c r="M489" s="6">
        <v>35.616999999999997</v>
      </c>
      <c r="N489">
        <v>43.165999999999997</v>
      </c>
    </row>
    <row r="490" spans="1:14">
      <c r="A490">
        <v>9678</v>
      </c>
      <c r="B490" t="s">
        <v>713</v>
      </c>
      <c r="C490" s="7">
        <v>42338</v>
      </c>
      <c r="D490" s="5">
        <v>30</v>
      </c>
      <c r="E490" s="12">
        <v>11.898</v>
      </c>
      <c r="F490" s="6">
        <v>1.0029999999999999</v>
      </c>
      <c r="G490" s="6">
        <v>2.2599999999999998</v>
      </c>
      <c r="H490" s="6">
        <v>1985.1559999999999</v>
      </c>
      <c r="I490" s="6">
        <v>2302.59</v>
      </c>
      <c r="J490" s="6">
        <v>0.22</v>
      </c>
      <c r="K490" s="6">
        <v>317.214</v>
      </c>
      <c r="L490" s="6">
        <v>0</v>
      </c>
      <c r="M490" s="6">
        <v>13.154999999999999</v>
      </c>
      <c r="N490">
        <v>82.545000000000002</v>
      </c>
    </row>
    <row r="491" spans="1:14">
      <c r="A491">
        <v>9676</v>
      </c>
      <c r="B491" t="s">
        <v>714</v>
      </c>
      <c r="C491" s="7">
        <v>42338</v>
      </c>
      <c r="D491" s="5">
        <v>30</v>
      </c>
      <c r="E491" s="12">
        <v>9.3979999999999997</v>
      </c>
      <c r="F491" s="6">
        <v>0.77</v>
      </c>
      <c r="G491" s="6">
        <v>1.77</v>
      </c>
      <c r="H491" s="6">
        <v>1554.942</v>
      </c>
      <c r="I491" s="6">
        <v>1849.55</v>
      </c>
      <c r="J491" s="6">
        <v>0.18</v>
      </c>
      <c r="K491" s="6">
        <v>294.428</v>
      </c>
      <c r="L491" s="6">
        <v>0</v>
      </c>
      <c r="M491" s="6">
        <v>10.398</v>
      </c>
      <c r="N491">
        <v>64.656000000000006</v>
      </c>
    </row>
    <row r="492" spans="1:14">
      <c r="A492">
        <v>9677</v>
      </c>
      <c r="B492" t="s">
        <v>707</v>
      </c>
      <c r="C492" s="7">
        <v>42338</v>
      </c>
      <c r="D492" s="5">
        <v>30</v>
      </c>
      <c r="E492" s="12">
        <v>16.834</v>
      </c>
      <c r="F492" s="6">
        <v>1.3720000000000001</v>
      </c>
      <c r="G492" s="6">
        <v>3.1869999999999998</v>
      </c>
      <c r="H492" s="6">
        <v>2799.2379999999998</v>
      </c>
      <c r="I492" s="6">
        <v>3159.89</v>
      </c>
      <c r="J492" s="6">
        <v>0.32</v>
      </c>
      <c r="K492" s="6">
        <v>360.33199999999999</v>
      </c>
      <c r="L492" s="6">
        <v>0</v>
      </c>
      <c r="M492" s="6">
        <v>18.649000000000001</v>
      </c>
      <c r="N492">
        <v>116.39700000000001</v>
      </c>
    </row>
    <row r="493" spans="1:14">
      <c r="A493">
        <v>9682</v>
      </c>
      <c r="B493" t="s">
        <v>708</v>
      </c>
      <c r="C493" s="7">
        <v>42338</v>
      </c>
      <c r="D493" s="5">
        <v>30</v>
      </c>
      <c r="E493" s="12">
        <v>33.417999999999999</v>
      </c>
      <c r="F493" s="6">
        <v>2.7370000000000001</v>
      </c>
      <c r="G493" s="6">
        <v>6.4219999999999997</v>
      </c>
      <c r="H493" s="6">
        <v>5641.2120000000004</v>
      </c>
      <c r="I493" s="6">
        <v>6159.64</v>
      </c>
      <c r="J493" s="6">
        <v>0.64</v>
      </c>
      <c r="K493" s="6">
        <v>517.78800000000001</v>
      </c>
      <c r="L493" s="6">
        <v>0</v>
      </c>
      <c r="M493" s="6">
        <v>37.103000000000002</v>
      </c>
      <c r="N493">
        <v>234.571</v>
      </c>
    </row>
    <row r="494" spans="1:14">
      <c r="A494">
        <v>8573</v>
      </c>
      <c r="B494" t="s">
        <v>385</v>
      </c>
      <c r="C494" s="7">
        <v>42338</v>
      </c>
      <c r="D494" s="5">
        <v>30</v>
      </c>
      <c r="E494" s="12">
        <v>18.128</v>
      </c>
      <c r="F494" s="6">
        <v>0.70799999999999996</v>
      </c>
      <c r="G494" s="6">
        <v>0.81499999999999995</v>
      </c>
      <c r="H494" s="6">
        <v>1405.4590000000001</v>
      </c>
      <c r="I494" s="6">
        <v>1761.97</v>
      </c>
      <c r="J494" s="6">
        <v>0</v>
      </c>
      <c r="K494" s="6">
        <v>356.51100000000002</v>
      </c>
      <c r="L494" s="6">
        <v>0</v>
      </c>
      <c r="M494" s="6">
        <v>18.234999999999999</v>
      </c>
      <c r="N494">
        <v>5.6630000000000003</v>
      </c>
    </row>
    <row r="495" spans="1:14">
      <c r="A495">
        <v>8858</v>
      </c>
      <c r="B495" t="s">
        <v>386</v>
      </c>
      <c r="C495" s="7">
        <v>42338</v>
      </c>
      <c r="D495" s="5">
        <v>30</v>
      </c>
      <c r="E495" s="12">
        <v>65.364999999999995</v>
      </c>
      <c r="F495" s="6">
        <v>0.55900000000000005</v>
      </c>
      <c r="G495" s="6">
        <v>0.66100000000000003</v>
      </c>
      <c r="H495" s="6">
        <v>1134.7</v>
      </c>
      <c r="I495" s="6">
        <v>1341.03</v>
      </c>
      <c r="J495" s="6">
        <v>0</v>
      </c>
      <c r="K495" s="6">
        <v>206.33</v>
      </c>
      <c r="L495" s="6">
        <v>0</v>
      </c>
      <c r="M495" s="6">
        <v>65.466999999999999</v>
      </c>
      <c r="N495">
        <v>4.5940000000000003</v>
      </c>
    </row>
    <row r="496" spans="1:14">
      <c r="A496">
        <v>8693</v>
      </c>
      <c r="B496" t="s">
        <v>660</v>
      </c>
      <c r="C496" s="7">
        <v>42338</v>
      </c>
      <c r="D496" s="5">
        <v>0</v>
      </c>
      <c r="E496" s="12">
        <v>20.951000000000001</v>
      </c>
      <c r="F496" s="6">
        <v>0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20.951000000000001</v>
      </c>
      <c r="N496">
        <v>0</v>
      </c>
    </row>
    <row r="497" spans="1:14">
      <c r="A497">
        <v>8861</v>
      </c>
      <c r="B497" t="s">
        <v>387</v>
      </c>
      <c r="C497" s="7">
        <v>42338</v>
      </c>
      <c r="D497" s="5">
        <v>30</v>
      </c>
      <c r="E497" s="12">
        <v>82.572999999999993</v>
      </c>
      <c r="F497" s="6">
        <v>0.64</v>
      </c>
      <c r="G497" s="6">
        <v>0.745</v>
      </c>
      <c r="H497" s="6">
        <v>1281.049</v>
      </c>
      <c r="I497" s="6">
        <v>1454.93</v>
      </c>
      <c r="J497" s="6">
        <v>0</v>
      </c>
      <c r="K497" s="6">
        <v>173.881</v>
      </c>
      <c r="L497" s="6">
        <v>0</v>
      </c>
      <c r="M497" s="6">
        <v>82.677999999999997</v>
      </c>
      <c r="N497">
        <v>5.1859999999999999</v>
      </c>
    </row>
    <row r="498" spans="1:14">
      <c r="A498">
        <v>9081</v>
      </c>
      <c r="B498" t="s">
        <v>388</v>
      </c>
      <c r="C498" s="7">
        <v>42338</v>
      </c>
      <c r="D498" s="5">
        <v>30</v>
      </c>
      <c r="E498" s="12">
        <v>62.500999999999998</v>
      </c>
      <c r="F498" s="6">
        <v>1.288</v>
      </c>
      <c r="G498" s="6">
        <v>1.8120000000000001</v>
      </c>
      <c r="H498" s="6">
        <v>2592.489</v>
      </c>
      <c r="I498" s="6">
        <v>3011.73</v>
      </c>
      <c r="J498" s="6">
        <v>0.06</v>
      </c>
      <c r="K498" s="6">
        <v>419.18099999999998</v>
      </c>
      <c r="L498" s="6">
        <v>0</v>
      </c>
      <c r="M498" s="6">
        <v>63.024999999999999</v>
      </c>
      <c r="N498">
        <v>47.369</v>
      </c>
    </row>
    <row r="499" spans="1:14">
      <c r="A499">
        <v>8862</v>
      </c>
      <c r="B499" t="s">
        <v>389</v>
      </c>
      <c r="C499" s="7">
        <v>42338</v>
      </c>
      <c r="D499" s="5">
        <v>30</v>
      </c>
      <c r="E499" s="12">
        <v>57.924999999999997</v>
      </c>
      <c r="F499" s="6">
        <v>49.415999999999997</v>
      </c>
      <c r="G499" s="6">
        <v>8.6189999999999998</v>
      </c>
      <c r="H499" s="6">
        <v>1844.79</v>
      </c>
      <c r="I499" s="6">
        <v>2089.6799999999998</v>
      </c>
      <c r="J499" s="6">
        <v>1.53</v>
      </c>
      <c r="K499" s="6">
        <v>243.36</v>
      </c>
      <c r="L499" s="6">
        <v>0</v>
      </c>
      <c r="M499" s="6">
        <v>17.128</v>
      </c>
      <c r="N499">
        <v>10.368</v>
      </c>
    </row>
    <row r="500" spans="1:14">
      <c r="A500">
        <v>9061</v>
      </c>
      <c r="B500" t="s">
        <v>390</v>
      </c>
      <c r="C500" s="7">
        <v>42338</v>
      </c>
      <c r="D500" s="5">
        <v>30</v>
      </c>
      <c r="E500" s="12">
        <v>39.374000000000002</v>
      </c>
      <c r="F500" s="6">
        <v>1.016</v>
      </c>
      <c r="G500" s="6">
        <v>1.1930000000000001</v>
      </c>
      <c r="H500" s="6">
        <v>2050.7800000000002</v>
      </c>
      <c r="I500" s="6">
        <v>2371.27</v>
      </c>
      <c r="J500" s="6">
        <v>0</v>
      </c>
      <c r="K500" s="6">
        <v>320.49</v>
      </c>
      <c r="L500" s="6">
        <v>0</v>
      </c>
      <c r="M500" s="6">
        <v>39.551000000000002</v>
      </c>
      <c r="N500">
        <v>8.3019999999999996</v>
      </c>
    </row>
    <row r="501" spans="1:14">
      <c r="A501">
        <v>9007</v>
      </c>
      <c r="B501" t="s">
        <v>391</v>
      </c>
      <c r="C501" s="7">
        <v>42338</v>
      </c>
      <c r="D501" s="5">
        <v>30</v>
      </c>
      <c r="E501" s="12">
        <v>25.081</v>
      </c>
      <c r="F501" s="6">
        <v>1.23</v>
      </c>
      <c r="G501" s="6">
        <v>1.43</v>
      </c>
      <c r="H501" s="6">
        <v>2457.2510000000002</v>
      </c>
      <c r="I501" s="6">
        <v>2799.27</v>
      </c>
      <c r="J501" s="6">
        <v>0</v>
      </c>
      <c r="K501" s="6">
        <v>342.01900000000001</v>
      </c>
      <c r="L501" s="6">
        <v>0</v>
      </c>
      <c r="M501" s="6">
        <v>25.280999999999999</v>
      </c>
      <c r="N501">
        <v>9.9480000000000004</v>
      </c>
    </row>
    <row r="502" spans="1:14">
      <c r="A502">
        <v>9006</v>
      </c>
      <c r="B502" t="s">
        <v>392</v>
      </c>
      <c r="C502" s="7">
        <v>42338</v>
      </c>
      <c r="D502" s="5">
        <v>30</v>
      </c>
      <c r="E502" s="12">
        <v>31.045999999999999</v>
      </c>
      <c r="F502" s="6">
        <v>1.3320000000000001</v>
      </c>
      <c r="G502" s="6">
        <v>1.548</v>
      </c>
      <c r="H502" s="6">
        <v>2659.8220000000001</v>
      </c>
      <c r="I502" s="6">
        <v>2941.73</v>
      </c>
      <c r="J502" s="6">
        <v>0</v>
      </c>
      <c r="K502" s="6">
        <v>281.90800000000002</v>
      </c>
      <c r="L502" s="6">
        <v>0</v>
      </c>
      <c r="M502" s="6">
        <v>31.262</v>
      </c>
      <c r="N502">
        <v>10.768000000000001</v>
      </c>
    </row>
    <row r="503" spans="1:14">
      <c r="A503">
        <v>9010</v>
      </c>
      <c r="B503" t="s">
        <v>393</v>
      </c>
      <c r="C503" s="7">
        <v>42338</v>
      </c>
      <c r="D503" s="5">
        <v>30</v>
      </c>
      <c r="E503" s="12">
        <v>43.664999999999999</v>
      </c>
      <c r="F503" s="6">
        <v>1.0860000000000001</v>
      </c>
      <c r="G503" s="6">
        <v>1.278</v>
      </c>
      <c r="H503" s="6">
        <v>2195.6089999999999</v>
      </c>
      <c r="I503" s="6">
        <v>2523.77</v>
      </c>
      <c r="J503" s="6">
        <v>0</v>
      </c>
      <c r="K503" s="6">
        <v>328.161</v>
      </c>
      <c r="L503" s="6">
        <v>0</v>
      </c>
      <c r="M503" s="6">
        <v>43.856999999999999</v>
      </c>
      <c r="N503">
        <v>8.8889999999999993</v>
      </c>
    </row>
    <row r="504" spans="1:14">
      <c r="A504">
        <v>9009</v>
      </c>
      <c r="B504" t="s">
        <v>394</v>
      </c>
      <c r="C504" s="7">
        <v>42338</v>
      </c>
      <c r="D504" s="5">
        <v>30</v>
      </c>
      <c r="E504" s="12">
        <v>44.02</v>
      </c>
      <c r="F504" s="6">
        <v>1.0580000000000001</v>
      </c>
      <c r="G504" s="6">
        <v>1.2050000000000001</v>
      </c>
      <c r="H504" s="6">
        <v>2072.2429999999999</v>
      </c>
      <c r="I504" s="6">
        <v>2393.87</v>
      </c>
      <c r="J504" s="6">
        <v>0</v>
      </c>
      <c r="K504" s="6">
        <v>321.62700000000001</v>
      </c>
      <c r="L504" s="6">
        <v>0</v>
      </c>
      <c r="M504" s="6">
        <v>44.167000000000002</v>
      </c>
      <c r="N504">
        <v>8.39</v>
      </c>
    </row>
    <row r="505" spans="1:14">
      <c r="A505">
        <v>9011</v>
      </c>
      <c r="B505" t="s">
        <v>395</v>
      </c>
      <c r="C505" s="7">
        <v>42338</v>
      </c>
      <c r="D505" s="5">
        <v>1</v>
      </c>
      <c r="E505" s="12">
        <v>6.101</v>
      </c>
      <c r="F505" s="6">
        <v>5.133</v>
      </c>
      <c r="G505" s="6">
        <v>3.4000000000000002E-2</v>
      </c>
      <c r="H505" s="6">
        <v>6.9329999999999998</v>
      </c>
      <c r="I505" s="6">
        <v>122.04</v>
      </c>
      <c r="J505" s="6">
        <v>8.7100000000000009</v>
      </c>
      <c r="K505" s="6">
        <v>106.39700000000001</v>
      </c>
      <c r="L505" s="6">
        <v>8.6999999999999993</v>
      </c>
      <c r="M505" s="6">
        <v>1.002</v>
      </c>
      <c r="N505">
        <v>6.7000000000000004E-2</v>
      </c>
    </row>
    <row r="506" spans="1:14">
      <c r="A506">
        <v>9008</v>
      </c>
      <c r="B506" t="s">
        <v>396</v>
      </c>
      <c r="C506" s="7">
        <v>42338</v>
      </c>
      <c r="D506" s="5">
        <v>30</v>
      </c>
      <c r="E506" s="12">
        <v>95.962000000000003</v>
      </c>
      <c r="F506" s="6">
        <v>80.290999999999997</v>
      </c>
      <c r="G506" s="6">
        <v>10.443</v>
      </c>
      <c r="H506" s="6">
        <v>2151.828</v>
      </c>
      <c r="I506" s="6">
        <v>2378.3200000000002</v>
      </c>
      <c r="J506" s="6">
        <v>1.87</v>
      </c>
      <c r="K506" s="6">
        <v>224.62200000000001</v>
      </c>
      <c r="L506" s="6">
        <v>0</v>
      </c>
      <c r="M506" s="6">
        <v>26.114000000000001</v>
      </c>
      <c r="N506">
        <v>20.385999999999999</v>
      </c>
    </row>
    <row r="507" spans="1:14">
      <c r="A507">
        <v>9179</v>
      </c>
      <c r="B507" t="s">
        <v>397</v>
      </c>
      <c r="C507" s="7">
        <v>42338</v>
      </c>
      <c r="D507" s="5">
        <v>5</v>
      </c>
      <c r="E507" s="12">
        <v>45.514000000000003</v>
      </c>
      <c r="F507" s="6">
        <v>0.70199999999999996</v>
      </c>
      <c r="G507" s="6">
        <v>1.913</v>
      </c>
      <c r="H507" s="6">
        <v>1134.0360000000001</v>
      </c>
      <c r="I507" s="6">
        <v>1320.35</v>
      </c>
      <c r="J507" s="6">
        <v>20.22</v>
      </c>
      <c r="K507" s="6">
        <v>166.09399999999999</v>
      </c>
      <c r="L507" s="6">
        <v>19.97</v>
      </c>
      <c r="M507" s="6">
        <v>46.725000000000001</v>
      </c>
      <c r="N507">
        <v>28.658999999999999</v>
      </c>
    </row>
    <row r="508" spans="1:14">
      <c r="A508">
        <v>9178</v>
      </c>
      <c r="B508" t="s">
        <v>398</v>
      </c>
      <c r="C508" s="7">
        <v>42338</v>
      </c>
      <c r="D508" s="5">
        <v>30</v>
      </c>
      <c r="E508" s="12">
        <v>40.514000000000003</v>
      </c>
      <c r="F508" s="6">
        <v>1.4059999999999999</v>
      </c>
      <c r="G508" s="6">
        <v>7.9889999999999999</v>
      </c>
      <c r="H508" s="6">
        <v>3072.5610000000001</v>
      </c>
      <c r="I508" s="6">
        <v>3430.31</v>
      </c>
      <c r="J508" s="6">
        <v>53.98</v>
      </c>
      <c r="K508" s="6">
        <v>303.76900000000001</v>
      </c>
      <c r="L508" s="6">
        <v>52.72</v>
      </c>
      <c r="M508" s="6">
        <v>47.097000000000001</v>
      </c>
      <c r="N508">
        <v>256.14299999999997</v>
      </c>
    </row>
    <row r="509" spans="1:14">
      <c r="A509">
        <v>9180</v>
      </c>
      <c r="B509" t="s">
        <v>399</v>
      </c>
      <c r="C509" s="7">
        <v>42338</v>
      </c>
      <c r="D509" s="5">
        <v>30</v>
      </c>
      <c r="E509" s="12">
        <v>47.37</v>
      </c>
      <c r="F509" s="6">
        <v>1.502</v>
      </c>
      <c r="G509" s="6">
        <v>5.1079999999999997</v>
      </c>
      <c r="H509" s="6">
        <v>3027.64</v>
      </c>
      <c r="I509" s="6">
        <v>3329.71</v>
      </c>
      <c r="J509" s="6">
        <v>0.68</v>
      </c>
      <c r="K509" s="6">
        <v>301.39</v>
      </c>
      <c r="L509" s="6">
        <v>0</v>
      </c>
      <c r="M509" s="6">
        <v>50.975999999999999</v>
      </c>
      <c r="N509">
        <v>76.515000000000001</v>
      </c>
    </row>
    <row r="510" spans="1:14">
      <c r="A510">
        <v>9177</v>
      </c>
      <c r="B510" t="s">
        <v>400</v>
      </c>
      <c r="C510" s="7">
        <v>42338</v>
      </c>
      <c r="D510" s="5">
        <v>19</v>
      </c>
      <c r="E510" s="12">
        <v>20.667000000000002</v>
      </c>
      <c r="F510" s="6">
        <v>1.0660000000000001</v>
      </c>
      <c r="G510" s="6">
        <v>2.7850000000000001</v>
      </c>
      <c r="H510" s="6">
        <v>1070.9749999999999</v>
      </c>
      <c r="I510" s="6">
        <v>1281.27</v>
      </c>
      <c r="J510" s="6">
        <v>47.54</v>
      </c>
      <c r="K510" s="6">
        <v>162.755</v>
      </c>
      <c r="L510" s="6">
        <v>47.1</v>
      </c>
      <c r="M510" s="6">
        <v>22.385999999999999</v>
      </c>
      <c r="N510">
        <v>89.281000000000006</v>
      </c>
    </row>
    <row r="511" spans="1:14">
      <c r="A511">
        <v>9798</v>
      </c>
      <c r="B511" t="s">
        <v>689</v>
      </c>
      <c r="C511" s="7">
        <v>42338</v>
      </c>
      <c r="D511" s="5">
        <v>30</v>
      </c>
      <c r="E511" s="12">
        <v>13.795999999999999</v>
      </c>
      <c r="F511" s="6">
        <v>1.4239999999999999</v>
      </c>
      <c r="G511" s="6">
        <v>1.698</v>
      </c>
      <c r="H511" s="6">
        <v>2917.95</v>
      </c>
      <c r="I511" s="6">
        <v>3178.73</v>
      </c>
      <c r="J511" s="6">
        <v>0</v>
      </c>
      <c r="K511" s="6">
        <v>260.77999999999997</v>
      </c>
      <c r="L511" s="6">
        <v>0</v>
      </c>
      <c r="M511" s="6">
        <v>14.07</v>
      </c>
      <c r="N511">
        <v>11.813000000000001</v>
      </c>
    </row>
    <row r="512" spans="1:14">
      <c r="A512">
        <v>9797</v>
      </c>
      <c r="B512" t="s">
        <v>690</v>
      </c>
      <c r="C512" s="7">
        <v>42338</v>
      </c>
      <c r="D512" s="5">
        <v>30</v>
      </c>
      <c r="E512" s="12">
        <v>3.581</v>
      </c>
      <c r="F512" s="6">
        <v>0.308</v>
      </c>
      <c r="G512" s="6">
        <v>0.36599999999999999</v>
      </c>
      <c r="H512" s="6">
        <v>628.13099999999997</v>
      </c>
      <c r="I512" s="6">
        <v>767.63</v>
      </c>
      <c r="J512" s="6">
        <v>0</v>
      </c>
      <c r="K512" s="6">
        <v>139.499</v>
      </c>
      <c r="L512" s="6">
        <v>0</v>
      </c>
      <c r="M512" s="6">
        <v>3.6389999999999998</v>
      </c>
      <c r="N512">
        <v>2.5430000000000001</v>
      </c>
    </row>
    <row r="513" spans="1:14">
      <c r="A513">
        <v>9796</v>
      </c>
      <c r="B513" t="s">
        <v>691</v>
      </c>
      <c r="C513" s="7">
        <v>42338</v>
      </c>
      <c r="D513" s="5">
        <v>30</v>
      </c>
      <c r="E513" s="12">
        <v>13.007999999999999</v>
      </c>
      <c r="F513" s="6">
        <v>1.343</v>
      </c>
      <c r="G513" s="6">
        <v>1.5740000000000001</v>
      </c>
      <c r="H513" s="6">
        <v>2705.692</v>
      </c>
      <c r="I513" s="6">
        <v>2998.9</v>
      </c>
      <c r="J513" s="6">
        <v>0</v>
      </c>
      <c r="K513" s="6">
        <v>293.20800000000003</v>
      </c>
      <c r="L513" s="6">
        <v>0</v>
      </c>
      <c r="M513" s="6">
        <v>13.239000000000001</v>
      </c>
      <c r="N513">
        <v>10.954000000000001</v>
      </c>
    </row>
    <row r="514" spans="1:14">
      <c r="A514">
        <v>8839</v>
      </c>
      <c r="B514" t="s">
        <v>401</v>
      </c>
      <c r="C514" s="7">
        <v>42338</v>
      </c>
      <c r="D514" s="5">
        <v>30</v>
      </c>
      <c r="E514" s="12">
        <v>36.814999999999998</v>
      </c>
      <c r="F514" s="6">
        <v>0.45300000000000001</v>
      </c>
      <c r="G514" s="6">
        <v>7.4219999999999997</v>
      </c>
      <c r="H514" s="6">
        <v>926.90599999999995</v>
      </c>
      <c r="I514" s="6">
        <v>1118.43</v>
      </c>
      <c r="J514" s="6">
        <v>1.4</v>
      </c>
      <c r="K514" s="6">
        <v>190.124</v>
      </c>
      <c r="L514" s="6">
        <v>0</v>
      </c>
      <c r="M514" s="6">
        <v>43.783999999999999</v>
      </c>
      <c r="N514">
        <v>6.1550000000000002</v>
      </c>
    </row>
    <row r="515" spans="1:14">
      <c r="A515">
        <v>8867</v>
      </c>
      <c r="B515" t="s">
        <v>402</v>
      </c>
      <c r="C515" s="7">
        <v>42338</v>
      </c>
      <c r="D515" s="5">
        <v>30</v>
      </c>
      <c r="E515" s="12">
        <v>28.03</v>
      </c>
      <c r="F515" s="6">
        <v>0.155</v>
      </c>
      <c r="G515" s="6">
        <v>2.9140000000000001</v>
      </c>
      <c r="H515" s="6">
        <v>363.83</v>
      </c>
      <c r="I515" s="6">
        <v>524.67999999999995</v>
      </c>
      <c r="J515" s="6">
        <v>0.55000000000000004</v>
      </c>
      <c r="K515" s="6">
        <v>160.30000000000001</v>
      </c>
      <c r="L515" s="6">
        <v>0</v>
      </c>
      <c r="M515" s="6">
        <v>30.789000000000001</v>
      </c>
      <c r="N515">
        <v>2.4159999999999999</v>
      </c>
    </row>
    <row r="516" spans="1:14">
      <c r="A516">
        <v>8868</v>
      </c>
      <c r="B516" t="s">
        <v>403</v>
      </c>
      <c r="C516" s="7">
        <v>42338</v>
      </c>
      <c r="D516" s="5">
        <v>30</v>
      </c>
      <c r="E516" s="12">
        <v>48.043999999999997</v>
      </c>
      <c r="F516" s="6">
        <v>0.5</v>
      </c>
      <c r="G516" s="6">
        <v>0.48</v>
      </c>
      <c r="H516" s="6">
        <v>823.57899999999995</v>
      </c>
      <c r="I516" s="6">
        <v>1157.9100000000001</v>
      </c>
      <c r="J516" s="6">
        <v>8.84</v>
      </c>
      <c r="K516" s="6">
        <v>325.49099999999999</v>
      </c>
      <c r="L516" s="6">
        <v>8.84</v>
      </c>
      <c r="M516" s="6">
        <v>48.024000000000001</v>
      </c>
      <c r="N516">
        <v>3.3340000000000001</v>
      </c>
    </row>
    <row r="517" spans="1:14">
      <c r="A517">
        <v>8869</v>
      </c>
      <c r="B517" t="s">
        <v>404</v>
      </c>
      <c r="C517" s="7">
        <v>42338</v>
      </c>
      <c r="D517" s="5">
        <v>30</v>
      </c>
      <c r="E517" s="12">
        <v>73.245000000000005</v>
      </c>
      <c r="F517" s="6">
        <v>62.466999999999999</v>
      </c>
      <c r="G517" s="6">
        <v>11.298999999999999</v>
      </c>
      <c r="H517" s="6">
        <v>2418.3130000000001</v>
      </c>
      <c r="I517" s="6">
        <v>2654.44</v>
      </c>
      <c r="J517" s="6">
        <v>2.0099999999999998</v>
      </c>
      <c r="K517" s="6">
        <v>234.11699999999999</v>
      </c>
      <c r="L517" s="6">
        <v>0</v>
      </c>
      <c r="M517" s="6">
        <v>22.077000000000002</v>
      </c>
      <c r="N517">
        <v>13.590999999999999</v>
      </c>
    </row>
    <row r="518" spans="1:14">
      <c r="A518">
        <v>9182</v>
      </c>
      <c r="B518" t="s">
        <v>405</v>
      </c>
      <c r="C518" s="7">
        <v>42338</v>
      </c>
      <c r="D518" s="5">
        <v>30</v>
      </c>
      <c r="E518" s="12">
        <v>42.093000000000004</v>
      </c>
      <c r="F518" s="6">
        <v>1.161</v>
      </c>
      <c r="G518" s="6">
        <v>1.365</v>
      </c>
      <c r="H518" s="6">
        <v>2346.6109999999999</v>
      </c>
      <c r="I518" s="6">
        <v>2682.77</v>
      </c>
      <c r="J518" s="6">
        <v>0</v>
      </c>
      <c r="K518" s="6">
        <v>336.15899999999999</v>
      </c>
      <c r="L518" s="6">
        <v>0</v>
      </c>
      <c r="M518" s="6">
        <v>42.296999999999997</v>
      </c>
      <c r="N518">
        <v>9.5</v>
      </c>
    </row>
    <row r="519" spans="1:14">
      <c r="A519">
        <v>9082</v>
      </c>
      <c r="B519" t="s">
        <v>406</v>
      </c>
      <c r="C519" s="7">
        <v>42338</v>
      </c>
      <c r="D519" s="5">
        <v>28</v>
      </c>
      <c r="E519" s="12">
        <v>87.504000000000005</v>
      </c>
      <c r="F519" s="6">
        <v>0.72699999999999998</v>
      </c>
      <c r="G519" s="6">
        <v>0.85899999999999999</v>
      </c>
      <c r="H519" s="6">
        <v>1476.212</v>
      </c>
      <c r="I519" s="6">
        <v>1766.27</v>
      </c>
      <c r="J519" s="6">
        <v>0</v>
      </c>
      <c r="K519" s="6">
        <v>290.05799999999999</v>
      </c>
      <c r="L519" s="6">
        <v>0</v>
      </c>
      <c r="M519" s="6">
        <v>87.635999999999996</v>
      </c>
      <c r="N519">
        <v>5.9770000000000003</v>
      </c>
    </row>
    <row r="520" spans="1:14">
      <c r="A520">
        <v>9181</v>
      </c>
      <c r="B520" t="s">
        <v>407</v>
      </c>
      <c r="C520" s="7">
        <v>42338</v>
      </c>
      <c r="D520" s="5">
        <v>30</v>
      </c>
      <c r="E520" s="12">
        <v>24.908000000000001</v>
      </c>
      <c r="F520" s="6">
        <v>0.88100000000000001</v>
      </c>
      <c r="G520" s="6">
        <v>2.5739999999999998</v>
      </c>
      <c r="H520" s="6">
        <v>1552.473</v>
      </c>
      <c r="I520" s="6">
        <v>1846.91</v>
      </c>
      <c r="J520" s="6">
        <v>0.34</v>
      </c>
      <c r="K520" s="6">
        <v>294.09699999999998</v>
      </c>
      <c r="L520" s="6">
        <v>0</v>
      </c>
      <c r="M520" s="6">
        <v>26.600999999999999</v>
      </c>
      <c r="N520">
        <v>69.603999999999999</v>
      </c>
    </row>
    <row r="521" spans="1:14">
      <c r="A521">
        <v>9338</v>
      </c>
      <c r="B521" t="s">
        <v>408</v>
      </c>
      <c r="C521" s="7">
        <v>42338</v>
      </c>
      <c r="D521" s="5">
        <v>30</v>
      </c>
      <c r="E521" s="12">
        <v>20.393000000000001</v>
      </c>
      <c r="F521" s="6">
        <v>0.86899999999999999</v>
      </c>
      <c r="G521" s="6">
        <v>0.90800000000000003</v>
      </c>
      <c r="H521" s="6">
        <v>1192.5889999999999</v>
      </c>
      <c r="I521" s="6">
        <v>1399.43</v>
      </c>
      <c r="J521" s="6">
        <v>0</v>
      </c>
      <c r="K521" s="6">
        <v>206.84100000000001</v>
      </c>
      <c r="L521" s="6">
        <v>0</v>
      </c>
      <c r="M521" s="6">
        <v>20.431999999999999</v>
      </c>
      <c r="N521">
        <v>2.9769999999999999</v>
      </c>
    </row>
    <row r="522" spans="1:14">
      <c r="A522">
        <v>9617</v>
      </c>
      <c r="B522" t="s">
        <v>709</v>
      </c>
      <c r="C522" s="7">
        <v>42338</v>
      </c>
      <c r="D522" s="5">
        <v>11</v>
      </c>
      <c r="E522" s="12">
        <v>9.1769999999999996</v>
      </c>
      <c r="F522" s="6">
        <v>1.4690000000000001</v>
      </c>
      <c r="G522" s="6">
        <v>0.70699999999999996</v>
      </c>
      <c r="H522" s="6">
        <v>597.43200000000002</v>
      </c>
      <c r="I522" s="6">
        <v>771.58</v>
      </c>
      <c r="J522" s="6">
        <v>0.05</v>
      </c>
      <c r="K522" s="6">
        <v>174.09800000000001</v>
      </c>
      <c r="L522" s="6">
        <v>0</v>
      </c>
      <c r="M522" s="6">
        <v>8.4149999999999991</v>
      </c>
      <c r="N522">
        <v>8.2260000000000009</v>
      </c>
    </row>
    <row r="523" spans="1:14">
      <c r="A523">
        <v>9618</v>
      </c>
      <c r="B523" t="s">
        <v>710</v>
      </c>
      <c r="C523" s="7">
        <v>42338</v>
      </c>
      <c r="D523" s="5">
        <v>28</v>
      </c>
      <c r="E523" s="12">
        <v>26.452999999999999</v>
      </c>
      <c r="F523" s="6">
        <v>4.298</v>
      </c>
      <c r="G523" s="6">
        <v>5.67</v>
      </c>
      <c r="H523" s="6">
        <v>4791.4939999999997</v>
      </c>
      <c r="I523" s="6">
        <v>5173.87</v>
      </c>
      <c r="J523" s="6">
        <v>0.41</v>
      </c>
      <c r="K523" s="6">
        <v>381.96600000000001</v>
      </c>
      <c r="L523" s="6">
        <v>0</v>
      </c>
      <c r="M523" s="6">
        <v>27.824999999999999</v>
      </c>
      <c r="N523">
        <v>65.97</v>
      </c>
    </row>
    <row r="524" spans="1:14">
      <c r="A524">
        <v>9619</v>
      </c>
      <c r="B524" t="s">
        <v>711</v>
      </c>
      <c r="C524" s="7">
        <v>42338</v>
      </c>
      <c r="D524" s="5">
        <v>30</v>
      </c>
      <c r="E524" s="12">
        <v>16.038</v>
      </c>
      <c r="F524" s="6">
        <v>1.5</v>
      </c>
      <c r="G524" s="6">
        <v>2.5339999999999998</v>
      </c>
      <c r="H524" s="6">
        <v>1843.7650000000001</v>
      </c>
      <c r="I524" s="6">
        <v>2051.66</v>
      </c>
      <c r="J524" s="6">
        <v>0.23</v>
      </c>
      <c r="K524" s="6">
        <v>207.66499999999999</v>
      </c>
      <c r="L524" s="6">
        <v>0</v>
      </c>
      <c r="M524" s="6">
        <v>17.071999999999999</v>
      </c>
      <c r="N524">
        <v>44.648000000000003</v>
      </c>
    </row>
    <row r="525" spans="1:14">
      <c r="A525">
        <v>9339</v>
      </c>
      <c r="B525" t="s">
        <v>1040</v>
      </c>
      <c r="C525" s="7">
        <v>42338</v>
      </c>
      <c r="D525" s="5">
        <v>0</v>
      </c>
      <c r="E525" s="12">
        <v>4.0000000000000001E-3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4.0000000000000001E-3</v>
      </c>
      <c r="N525">
        <v>0</v>
      </c>
    </row>
    <row r="526" spans="1:14">
      <c r="A526">
        <v>9337</v>
      </c>
      <c r="B526" t="s">
        <v>409</v>
      </c>
      <c r="C526" s="7">
        <v>42338</v>
      </c>
      <c r="D526" s="5">
        <v>30</v>
      </c>
      <c r="E526" s="12">
        <v>86.171999999999997</v>
      </c>
      <c r="F526" s="6">
        <v>2.6459999999999999</v>
      </c>
      <c r="G526" s="6">
        <v>2.133</v>
      </c>
      <c r="H526" s="6">
        <v>2803.1819999999998</v>
      </c>
      <c r="I526" s="6">
        <v>3098.63</v>
      </c>
      <c r="J526" s="6">
        <v>0</v>
      </c>
      <c r="K526" s="6">
        <v>295.44799999999998</v>
      </c>
      <c r="L526" s="6">
        <v>0</v>
      </c>
      <c r="M526" s="6">
        <v>85.659000000000006</v>
      </c>
      <c r="N526">
        <v>6.9960000000000004</v>
      </c>
    </row>
    <row r="527" spans="1:14">
      <c r="A527">
        <v>9488</v>
      </c>
      <c r="B527" t="s">
        <v>410</v>
      </c>
      <c r="C527" s="7">
        <v>42338</v>
      </c>
      <c r="D527" s="5">
        <v>28</v>
      </c>
      <c r="E527" s="12">
        <v>48.536999999999999</v>
      </c>
      <c r="F527" s="6">
        <v>2.0259999999999998</v>
      </c>
      <c r="G527" s="6">
        <v>3.141</v>
      </c>
      <c r="H527" s="6">
        <v>1824.5229999999999</v>
      </c>
      <c r="I527" s="6">
        <v>2031.49</v>
      </c>
      <c r="J527" s="6">
        <v>0.36</v>
      </c>
      <c r="K527" s="6">
        <v>206.607</v>
      </c>
      <c r="L527" s="6">
        <v>0</v>
      </c>
      <c r="M527" s="6">
        <v>49.652000000000001</v>
      </c>
      <c r="N527">
        <v>58.23</v>
      </c>
    </row>
    <row r="528" spans="1:14">
      <c r="A528">
        <v>9492</v>
      </c>
      <c r="B528" t="s">
        <v>411</v>
      </c>
      <c r="C528" s="7">
        <v>42338</v>
      </c>
      <c r="D528" s="5">
        <v>30</v>
      </c>
      <c r="E528" s="12">
        <v>30.277999999999999</v>
      </c>
      <c r="F528" s="6">
        <v>1.262</v>
      </c>
      <c r="G528" s="6">
        <v>2.4990000000000001</v>
      </c>
      <c r="H528" s="6">
        <v>1451.164</v>
      </c>
      <c r="I528" s="6">
        <v>1637.51</v>
      </c>
      <c r="J528" s="6">
        <v>0.28000000000000003</v>
      </c>
      <c r="K528" s="6">
        <v>186.066</v>
      </c>
      <c r="L528" s="6">
        <v>0</v>
      </c>
      <c r="M528" s="6">
        <v>31.515000000000001</v>
      </c>
      <c r="N528">
        <v>46.314</v>
      </c>
    </row>
    <row r="529" spans="1:14">
      <c r="A529">
        <v>9491</v>
      </c>
      <c r="B529" t="s">
        <v>412</v>
      </c>
      <c r="C529" s="7">
        <v>42338</v>
      </c>
      <c r="D529" s="5">
        <v>29</v>
      </c>
      <c r="E529" s="12">
        <v>36.320999999999998</v>
      </c>
      <c r="F529" s="6">
        <v>1.5549999999999999</v>
      </c>
      <c r="G529" s="6">
        <v>2.9390000000000001</v>
      </c>
      <c r="H529" s="6">
        <v>1707.1790000000001</v>
      </c>
      <c r="I529" s="6">
        <v>2013.5</v>
      </c>
      <c r="J529" s="6">
        <v>0.33</v>
      </c>
      <c r="K529" s="6">
        <v>305.99099999999999</v>
      </c>
      <c r="L529" s="6">
        <v>0</v>
      </c>
      <c r="M529" s="6">
        <v>37.704999999999998</v>
      </c>
      <c r="N529">
        <v>54.484999999999999</v>
      </c>
    </row>
    <row r="530" spans="1:14">
      <c r="A530">
        <v>9537</v>
      </c>
      <c r="B530" t="s">
        <v>413</v>
      </c>
      <c r="C530" s="7">
        <v>42338</v>
      </c>
      <c r="D530" s="5">
        <v>30</v>
      </c>
      <c r="E530" s="12">
        <v>23.664999999999999</v>
      </c>
      <c r="F530" s="6">
        <v>1.0660000000000001</v>
      </c>
      <c r="G530" s="6">
        <v>2.4489999999999998</v>
      </c>
      <c r="H530" s="6">
        <v>1421.6849999999999</v>
      </c>
      <c r="I530" s="6">
        <v>1712.25</v>
      </c>
      <c r="J530" s="6">
        <v>0.28000000000000003</v>
      </c>
      <c r="K530" s="6">
        <v>290.28500000000003</v>
      </c>
      <c r="L530" s="6">
        <v>0</v>
      </c>
      <c r="M530" s="6">
        <v>25.047999999999998</v>
      </c>
      <c r="N530">
        <v>45.374000000000002</v>
      </c>
    </row>
    <row r="531" spans="1:14">
      <c r="A531">
        <v>9490</v>
      </c>
      <c r="B531" t="s">
        <v>414</v>
      </c>
      <c r="C531" s="7">
        <v>42338</v>
      </c>
      <c r="D531" s="5">
        <v>1</v>
      </c>
      <c r="E531" s="12">
        <v>3.2349999999999999</v>
      </c>
      <c r="F531" s="6">
        <v>2E-3</v>
      </c>
      <c r="G531" s="6">
        <v>1E-3</v>
      </c>
      <c r="H531" s="6">
        <v>0.85299999999999998</v>
      </c>
      <c r="I531" s="6">
        <v>212.97</v>
      </c>
      <c r="J531" s="6">
        <v>0</v>
      </c>
      <c r="K531" s="6">
        <v>212.11699999999999</v>
      </c>
      <c r="L531" s="6">
        <v>0</v>
      </c>
      <c r="M531" s="6">
        <v>3.234</v>
      </c>
      <c r="N531">
        <v>5.3999999999999999E-2</v>
      </c>
    </row>
    <row r="532" spans="1:14">
      <c r="A532">
        <v>9489</v>
      </c>
      <c r="B532" t="s">
        <v>415</v>
      </c>
      <c r="C532" s="7">
        <v>42338</v>
      </c>
      <c r="D532" s="5">
        <v>8</v>
      </c>
      <c r="E532" s="12">
        <v>0.59699999999999998</v>
      </c>
      <c r="F532" s="6">
        <v>0</v>
      </c>
      <c r="G532" s="6">
        <v>0.152</v>
      </c>
      <c r="H532" s="6">
        <v>121.325</v>
      </c>
      <c r="I532" s="6">
        <v>345.28</v>
      </c>
      <c r="J532" s="6">
        <v>0.01</v>
      </c>
      <c r="K532" s="6">
        <v>223.94499999999999</v>
      </c>
      <c r="L532" s="6">
        <v>0</v>
      </c>
      <c r="M532" s="6">
        <v>0.749</v>
      </c>
      <c r="N532">
        <v>7.7329999999999997</v>
      </c>
    </row>
    <row r="533" spans="1:14">
      <c r="A533">
        <v>9487</v>
      </c>
      <c r="B533" t="s">
        <v>416</v>
      </c>
      <c r="C533" s="7">
        <v>42338</v>
      </c>
      <c r="D533" s="5">
        <v>19</v>
      </c>
      <c r="E533" s="12">
        <v>37.345999999999997</v>
      </c>
      <c r="F533" s="6">
        <v>22.795000000000002</v>
      </c>
      <c r="G533" s="6">
        <v>5.6890000000000001</v>
      </c>
      <c r="H533" s="6">
        <v>942.92499999999995</v>
      </c>
      <c r="I533" s="6">
        <v>1207.8800000000001</v>
      </c>
      <c r="J533" s="6">
        <v>1.01</v>
      </c>
      <c r="K533" s="6">
        <v>263.94499999999999</v>
      </c>
      <c r="L533" s="6">
        <v>0</v>
      </c>
      <c r="M533" s="6">
        <v>20.239999999999998</v>
      </c>
      <c r="N533">
        <v>95.835999999999999</v>
      </c>
    </row>
    <row r="534" spans="1:14">
      <c r="A534">
        <v>9486</v>
      </c>
      <c r="B534" t="s">
        <v>417</v>
      </c>
      <c r="C534" s="7">
        <v>42338</v>
      </c>
      <c r="D534" s="5">
        <v>30</v>
      </c>
      <c r="E534" s="12">
        <v>37.942</v>
      </c>
      <c r="F534" s="6">
        <v>22.841999999999999</v>
      </c>
      <c r="G534" s="6">
        <v>6.1139999999999999</v>
      </c>
      <c r="H534" s="6">
        <v>1013.4450000000001</v>
      </c>
      <c r="I534" s="6">
        <v>1282.3499999999999</v>
      </c>
      <c r="J534" s="6">
        <v>1.08</v>
      </c>
      <c r="K534" s="6">
        <v>267.82499999999999</v>
      </c>
      <c r="L534" s="6">
        <v>0</v>
      </c>
      <c r="M534" s="6">
        <v>21.213999999999999</v>
      </c>
      <c r="N534">
        <v>103.003</v>
      </c>
    </row>
    <row r="535" spans="1:14">
      <c r="A535">
        <v>9495</v>
      </c>
      <c r="B535" t="s">
        <v>418</v>
      </c>
      <c r="C535" s="7">
        <v>42338</v>
      </c>
      <c r="D535" s="5">
        <v>30</v>
      </c>
      <c r="E535" s="12">
        <v>53.107999999999997</v>
      </c>
      <c r="F535" s="6">
        <v>1.8049999999999999</v>
      </c>
      <c r="G535" s="6">
        <v>3.875</v>
      </c>
      <c r="H535" s="6">
        <v>3114.2669999999998</v>
      </c>
      <c r="I535" s="6">
        <v>3497.97</v>
      </c>
      <c r="J535" s="6">
        <v>0.31</v>
      </c>
      <c r="K535" s="6">
        <v>383.39299999999997</v>
      </c>
      <c r="L535" s="6">
        <v>0</v>
      </c>
      <c r="M535" s="6">
        <v>55.177999999999997</v>
      </c>
      <c r="N535">
        <v>198.511</v>
      </c>
    </row>
    <row r="536" spans="1:14">
      <c r="A536">
        <v>9538</v>
      </c>
      <c r="B536" t="s">
        <v>419</v>
      </c>
      <c r="C536" s="7">
        <v>42338</v>
      </c>
      <c r="D536" s="5">
        <v>30</v>
      </c>
      <c r="E536" s="12">
        <v>35.302</v>
      </c>
      <c r="F536" s="6">
        <v>1.5629999999999999</v>
      </c>
      <c r="G536" s="6">
        <v>2.3180000000000001</v>
      </c>
      <c r="H536" s="6">
        <v>1862.3420000000001</v>
      </c>
      <c r="I536" s="6">
        <v>2178.2800000000002</v>
      </c>
      <c r="J536" s="6">
        <v>0.18</v>
      </c>
      <c r="K536" s="6">
        <v>315.75799999999998</v>
      </c>
      <c r="L536" s="6">
        <v>0</v>
      </c>
      <c r="M536" s="6">
        <v>36.057000000000002</v>
      </c>
      <c r="N536">
        <v>118.711</v>
      </c>
    </row>
    <row r="537" spans="1:14">
      <c r="A537">
        <v>9485</v>
      </c>
      <c r="B537" t="s">
        <v>420</v>
      </c>
      <c r="C537" s="7">
        <v>42338</v>
      </c>
      <c r="D537" s="5">
        <v>30</v>
      </c>
      <c r="E537" s="12">
        <v>23.469000000000001</v>
      </c>
      <c r="F537" s="6">
        <v>1.202</v>
      </c>
      <c r="G537" s="6">
        <v>1.19</v>
      </c>
      <c r="H537" s="6">
        <v>1426.8989999999999</v>
      </c>
      <c r="I537" s="6">
        <v>1733.66</v>
      </c>
      <c r="J537" s="6">
        <v>0.02</v>
      </c>
      <c r="K537" s="6">
        <v>306.74099999999999</v>
      </c>
      <c r="L537" s="6">
        <v>0</v>
      </c>
      <c r="M537" s="6">
        <v>23.457000000000001</v>
      </c>
      <c r="N537">
        <v>28.843</v>
      </c>
    </row>
    <row r="538" spans="1:14">
      <c r="A538">
        <v>9482</v>
      </c>
      <c r="B538" t="s">
        <v>421</v>
      </c>
      <c r="C538" s="7">
        <v>42338</v>
      </c>
      <c r="D538" s="5">
        <v>30</v>
      </c>
      <c r="E538" s="12">
        <v>19.687999999999999</v>
      </c>
      <c r="F538" s="6">
        <v>0.97699999999999998</v>
      </c>
      <c r="G538" s="6">
        <v>0.92400000000000004</v>
      </c>
      <c r="H538" s="6">
        <v>1107.7560000000001</v>
      </c>
      <c r="I538" s="6">
        <v>1382.02</v>
      </c>
      <c r="J538" s="6">
        <v>0.02</v>
      </c>
      <c r="K538" s="6">
        <v>274.24400000000003</v>
      </c>
      <c r="L538" s="6">
        <v>0</v>
      </c>
      <c r="M538" s="6">
        <v>19.635000000000002</v>
      </c>
      <c r="N538">
        <v>22.393000000000001</v>
      </c>
    </row>
    <row r="539" spans="1:14">
      <c r="A539">
        <v>9483</v>
      </c>
      <c r="B539" t="s">
        <v>422</v>
      </c>
      <c r="C539" s="7">
        <v>42338</v>
      </c>
      <c r="D539" s="5">
        <v>30</v>
      </c>
      <c r="E539" s="12">
        <v>24.748999999999999</v>
      </c>
      <c r="F539" s="6">
        <v>1.1930000000000001</v>
      </c>
      <c r="G539" s="6">
        <v>1.141</v>
      </c>
      <c r="H539" s="6">
        <v>1367.942</v>
      </c>
      <c r="I539" s="6">
        <v>1656.52</v>
      </c>
      <c r="J539" s="6">
        <v>0.02</v>
      </c>
      <c r="K539" s="6">
        <v>288.55799999999999</v>
      </c>
      <c r="L539" s="6">
        <v>0</v>
      </c>
      <c r="M539" s="6">
        <v>24.696999999999999</v>
      </c>
      <c r="N539">
        <v>27.652000000000001</v>
      </c>
    </row>
    <row r="540" spans="1:14">
      <c r="A540">
        <v>9484</v>
      </c>
      <c r="B540" t="s">
        <v>423</v>
      </c>
      <c r="C540" s="7">
        <v>42338</v>
      </c>
      <c r="D540" s="5">
        <v>30</v>
      </c>
      <c r="E540" s="12">
        <v>20.655999999999999</v>
      </c>
      <c r="F540" s="6">
        <v>1.0860000000000001</v>
      </c>
      <c r="G540" s="6">
        <v>1.0649999999999999</v>
      </c>
      <c r="H540" s="6">
        <v>1275.9059999999999</v>
      </c>
      <c r="I540" s="6">
        <v>1559.42</v>
      </c>
      <c r="J540" s="6">
        <v>0.02</v>
      </c>
      <c r="K540" s="6">
        <v>283.49400000000003</v>
      </c>
      <c r="L540" s="6">
        <v>0</v>
      </c>
      <c r="M540" s="6">
        <v>20.635000000000002</v>
      </c>
      <c r="N540">
        <v>25.791</v>
      </c>
    </row>
    <row r="541" spans="1:14">
      <c r="A541">
        <v>9494</v>
      </c>
      <c r="B541" t="s">
        <v>424</v>
      </c>
      <c r="C541" s="7">
        <v>42338</v>
      </c>
      <c r="D541" s="5">
        <v>30</v>
      </c>
      <c r="E541" s="12">
        <v>47.640999999999998</v>
      </c>
      <c r="F541" s="6">
        <v>30.081</v>
      </c>
      <c r="G541" s="6">
        <v>7.149</v>
      </c>
      <c r="H541" s="6">
        <v>1185.0060000000001</v>
      </c>
      <c r="I541" s="6">
        <v>1357.7</v>
      </c>
      <c r="J541" s="6">
        <v>1.27</v>
      </c>
      <c r="K541" s="6">
        <v>171.42400000000001</v>
      </c>
      <c r="L541" s="6">
        <v>0</v>
      </c>
      <c r="M541" s="6">
        <v>24.709</v>
      </c>
      <c r="N541">
        <v>120.441</v>
      </c>
    </row>
    <row r="542" spans="1:14">
      <c r="A542">
        <v>9493</v>
      </c>
      <c r="B542" t="s">
        <v>425</v>
      </c>
      <c r="C542" s="7">
        <v>42338</v>
      </c>
      <c r="D542" s="5">
        <v>0</v>
      </c>
      <c r="E542" s="12">
        <v>0.66200000000000003</v>
      </c>
      <c r="F542" s="6">
        <v>0.51100000000000001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0.151</v>
      </c>
      <c r="N542">
        <v>0</v>
      </c>
    </row>
    <row r="543" spans="1:14">
      <c r="A543">
        <v>9620</v>
      </c>
      <c r="B543" t="s">
        <v>679</v>
      </c>
      <c r="C543" s="7">
        <v>42338</v>
      </c>
      <c r="D543" s="5">
        <v>30</v>
      </c>
      <c r="E543" s="12">
        <v>18.12</v>
      </c>
      <c r="F543" s="6">
        <v>2.3719999999999999</v>
      </c>
      <c r="G543" s="6">
        <v>3.3109999999999999</v>
      </c>
      <c r="H543" s="6">
        <v>2797.4</v>
      </c>
      <c r="I543" s="6">
        <v>3163.61</v>
      </c>
      <c r="J543" s="6">
        <v>0.24</v>
      </c>
      <c r="K543" s="6">
        <v>365.97</v>
      </c>
      <c r="L543" s="6">
        <v>0</v>
      </c>
      <c r="M543" s="6">
        <v>19.059000000000001</v>
      </c>
      <c r="N543">
        <v>38.515000000000001</v>
      </c>
    </row>
    <row r="544" spans="1:14">
      <c r="A544">
        <v>9626</v>
      </c>
      <c r="B544" t="s">
        <v>712</v>
      </c>
      <c r="C544" s="7">
        <v>42338</v>
      </c>
      <c r="D544" s="5">
        <v>30</v>
      </c>
      <c r="E544" s="12">
        <v>47.698999999999998</v>
      </c>
      <c r="F544" s="6">
        <v>3.8679999999999999</v>
      </c>
      <c r="G544" s="6">
        <v>5.81</v>
      </c>
      <c r="H544" s="6">
        <v>4226.4780000000001</v>
      </c>
      <c r="I544" s="6">
        <v>4565.76</v>
      </c>
      <c r="J544" s="6">
        <v>0.53</v>
      </c>
      <c r="K544" s="6">
        <v>338.75200000000001</v>
      </c>
      <c r="L544" s="6">
        <v>0</v>
      </c>
      <c r="M544" s="6">
        <v>49.640999999999998</v>
      </c>
      <c r="N544">
        <v>102.346</v>
      </c>
    </row>
    <row r="545" spans="1:14">
      <c r="A545">
        <v>9622</v>
      </c>
      <c r="B545" t="s">
        <v>697</v>
      </c>
      <c r="C545" s="7">
        <v>42338</v>
      </c>
      <c r="D545" s="5">
        <v>0</v>
      </c>
      <c r="E545" s="12">
        <v>7.0000000000000001E-3</v>
      </c>
      <c r="F545" s="6">
        <v>0</v>
      </c>
      <c r="G545" s="6">
        <v>0</v>
      </c>
      <c r="H545" s="6">
        <v>0</v>
      </c>
      <c r="I545" s="6">
        <v>0</v>
      </c>
      <c r="J545" s="6">
        <v>0</v>
      </c>
      <c r="K545" s="6">
        <v>0</v>
      </c>
      <c r="L545" s="6">
        <v>0</v>
      </c>
      <c r="M545" s="6">
        <v>7.0000000000000001E-3</v>
      </c>
      <c r="N545">
        <v>0</v>
      </c>
    </row>
    <row r="546" spans="1:14">
      <c r="A546">
        <v>9621</v>
      </c>
      <c r="B546" t="s">
        <v>680</v>
      </c>
      <c r="C546" s="7">
        <v>42338</v>
      </c>
      <c r="D546" s="5">
        <v>30</v>
      </c>
      <c r="E546" s="12">
        <v>21.734000000000002</v>
      </c>
      <c r="F546" s="6">
        <v>2.2839999999999998</v>
      </c>
      <c r="G546" s="6">
        <v>11.180999999999999</v>
      </c>
      <c r="H546" s="6">
        <v>2476.078</v>
      </c>
      <c r="I546" s="6">
        <v>2720.42</v>
      </c>
      <c r="J546" s="6">
        <v>1.89</v>
      </c>
      <c r="K546" s="6">
        <v>242.452</v>
      </c>
      <c r="L546" s="6">
        <v>0</v>
      </c>
      <c r="M546" s="6">
        <v>30.631</v>
      </c>
      <c r="N546">
        <v>90.070999999999998</v>
      </c>
    </row>
    <row r="547" spans="1:14">
      <c r="A547">
        <v>9623</v>
      </c>
      <c r="B547" t="s">
        <v>698</v>
      </c>
      <c r="C547" s="7">
        <v>42338</v>
      </c>
      <c r="D547" s="5">
        <v>30</v>
      </c>
      <c r="E547" s="12">
        <v>24.556999999999999</v>
      </c>
      <c r="F547" s="6">
        <v>2.194</v>
      </c>
      <c r="G547" s="6">
        <v>10.236000000000001</v>
      </c>
      <c r="H547" s="6">
        <v>2500.3429999999998</v>
      </c>
      <c r="I547" s="6">
        <v>2745.82</v>
      </c>
      <c r="J547" s="6">
        <v>1.69</v>
      </c>
      <c r="K547" s="6">
        <v>243.78700000000001</v>
      </c>
      <c r="L547" s="6">
        <v>0</v>
      </c>
      <c r="M547" s="6">
        <v>32.598999999999997</v>
      </c>
      <c r="N547">
        <v>92.156999999999996</v>
      </c>
    </row>
    <row r="548" spans="1:14">
      <c r="A548">
        <v>9624</v>
      </c>
      <c r="B548" t="s">
        <v>699</v>
      </c>
      <c r="C548" s="7">
        <v>42338</v>
      </c>
      <c r="D548" s="5">
        <v>30</v>
      </c>
      <c r="E548" s="12">
        <v>14.491</v>
      </c>
      <c r="F548" s="6">
        <v>1.298</v>
      </c>
      <c r="G548" s="6">
        <v>6.2460000000000004</v>
      </c>
      <c r="H548" s="6">
        <v>1525.57</v>
      </c>
      <c r="I548" s="6">
        <v>1716.76</v>
      </c>
      <c r="J548" s="6">
        <v>1.03</v>
      </c>
      <c r="K548" s="6">
        <v>190.16</v>
      </c>
      <c r="L548" s="6">
        <v>0</v>
      </c>
      <c r="M548" s="6">
        <v>19.439</v>
      </c>
      <c r="N548">
        <v>56.228999999999999</v>
      </c>
    </row>
    <row r="549" spans="1:14">
      <c r="A549">
        <v>9625</v>
      </c>
      <c r="B549" t="s">
        <v>700</v>
      </c>
      <c r="C549" s="7">
        <v>42338</v>
      </c>
      <c r="D549" s="5">
        <v>30</v>
      </c>
      <c r="E549" s="12">
        <v>18.876000000000001</v>
      </c>
      <c r="F549" s="6">
        <v>1.768</v>
      </c>
      <c r="G549" s="6">
        <v>2.8580000000000001</v>
      </c>
      <c r="H549" s="6">
        <v>2079.1170000000002</v>
      </c>
      <c r="I549" s="6">
        <v>2299.73</v>
      </c>
      <c r="J549" s="6">
        <v>0</v>
      </c>
      <c r="K549" s="6">
        <v>220.613</v>
      </c>
      <c r="L549" s="6">
        <v>0</v>
      </c>
      <c r="M549" s="6">
        <v>19.966000000000001</v>
      </c>
      <c r="N549">
        <v>50.345999999999997</v>
      </c>
    </row>
    <row r="550" spans="1:14">
      <c r="A550">
        <v>9693</v>
      </c>
      <c r="B550" t="s">
        <v>701</v>
      </c>
      <c r="C550" s="7">
        <v>42338</v>
      </c>
      <c r="D550" s="5">
        <v>28</v>
      </c>
      <c r="E550" s="12">
        <v>7.4390000000000001</v>
      </c>
      <c r="F550" s="6">
        <v>0.85499999999999998</v>
      </c>
      <c r="G550" s="6">
        <v>0.84699999999999998</v>
      </c>
      <c r="H550" s="6">
        <v>1113.443</v>
      </c>
      <c r="I550" s="6">
        <v>1280.93</v>
      </c>
      <c r="J550" s="6">
        <v>0</v>
      </c>
      <c r="K550" s="6">
        <v>167.48699999999999</v>
      </c>
      <c r="L550" s="6">
        <v>0</v>
      </c>
      <c r="M550" s="6">
        <v>7.431</v>
      </c>
      <c r="N550">
        <v>15.865</v>
      </c>
    </row>
    <row r="551" spans="1:14">
      <c r="A551">
        <v>9694</v>
      </c>
      <c r="B551" t="s">
        <v>702</v>
      </c>
      <c r="C551" s="7">
        <v>42338</v>
      </c>
      <c r="D551" s="5">
        <v>30</v>
      </c>
      <c r="E551" s="12">
        <v>34.85</v>
      </c>
      <c r="F551" s="6">
        <v>4.5179999999999998</v>
      </c>
      <c r="G551" s="6">
        <v>4.0529999999999999</v>
      </c>
      <c r="H551" s="6">
        <v>5325.6090000000004</v>
      </c>
      <c r="I551" s="6">
        <v>5724.83</v>
      </c>
      <c r="J551" s="6">
        <v>0</v>
      </c>
      <c r="K551" s="6">
        <v>399.221</v>
      </c>
      <c r="L551" s="6">
        <v>0</v>
      </c>
      <c r="M551" s="6">
        <v>34.384999999999998</v>
      </c>
      <c r="N551">
        <v>75.887</v>
      </c>
    </row>
    <row r="552" spans="1:14">
      <c r="A552">
        <v>9885</v>
      </c>
      <c r="B552" t="s">
        <v>779</v>
      </c>
      <c r="C552" s="7">
        <v>42338</v>
      </c>
      <c r="D552" s="5">
        <v>30</v>
      </c>
      <c r="E552" s="12">
        <v>28.827999999999999</v>
      </c>
      <c r="F552" s="6">
        <v>3.5129999999999999</v>
      </c>
      <c r="G552" s="6">
        <v>9.6389999999999993</v>
      </c>
      <c r="H552" s="6">
        <v>2714.6529999999998</v>
      </c>
      <c r="I552" s="6">
        <v>3079.79</v>
      </c>
      <c r="J552" s="6">
        <v>1.54</v>
      </c>
      <c r="K552" s="6">
        <v>363.59699999999998</v>
      </c>
      <c r="L552" s="6">
        <v>0</v>
      </c>
      <c r="M552" s="6">
        <v>34.954000000000001</v>
      </c>
      <c r="N552">
        <v>367.197</v>
      </c>
    </row>
    <row r="553" spans="1:14">
      <c r="A553">
        <v>9807</v>
      </c>
      <c r="B553" t="s">
        <v>780</v>
      </c>
      <c r="C553" s="7">
        <v>42338</v>
      </c>
      <c r="D553" s="5">
        <v>30</v>
      </c>
      <c r="E553" s="12">
        <v>59.338999999999999</v>
      </c>
      <c r="F553" s="6">
        <v>5.19</v>
      </c>
      <c r="G553" s="6">
        <v>19.983000000000001</v>
      </c>
      <c r="H553" s="6">
        <v>5627.4049999999997</v>
      </c>
      <c r="I553" s="6">
        <v>6154.44</v>
      </c>
      <c r="J553" s="6">
        <v>3.19</v>
      </c>
      <c r="K553" s="6">
        <v>523.84500000000003</v>
      </c>
      <c r="L553" s="6">
        <v>0</v>
      </c>
      <c r="M553" s="6">
        <v>74.132000000000005</v>
      </c>
      <c r="N553">
        <v>761.18899999999996</v>
      </c>
    </row>
    <row r="554" spans="1:14">
      <c r="A554">
        <v>9886</v>
      </c>
      <c r="B554" t="s">
        <v>781</v>
      </c>
      <c r="C554" s="7">
        <v>42338</v>
      </c>
      <c r="D554" s="5">
        <v>30</v>
      </c>
      <c r="E554" s="12">
        <v>17.137</v>
      </c>
      <c r="F554" s="6">
        <v>1.4610000000000001</v>
      </c>
      <c r="G554" s="6">
        <v>5.4909999999999997</v>
      </c>
      <c r="H554" s="6">
        <v>1546.2329999999999</v>
      </c>
      <c r="I554" s="6">
        <v>1778.48</v>
      </c>
      <c r="J554" s="6">
        <v>0.88</v>
      </c>
      <c r="K554" s="6">
        <v>231.36699999999999</v>
      </c>
      <c r="L554" s="6">
        <v>0</v>
      </c>
      <c r="M554" s="6">
        <v>21.167000000000002</v>
      </c>
      <c r="N554">
        <v>209.15100000000001</v>
      </c>
    </row>
    <row r="555" spans="1:14">
      <c r="A555">
        <v>8879</v>
      </c>
      <c r="B555" t="s">
        <v>426</v>
      </c>
      <c r="C555" s="7">
        <v>42338</v>
      </c>
      <c r="D555" s="5">
        <v>30</v>
      </c>
      <c r="E555" s="12">
        <v>26.373000000000001</v>
      </c>
      <c r="F555" s="6">
        <v>0</v>
      </c>
      <c r="G555" s="6">
        <v>1.6619999999999999</v>
      </c>
      <c r="H555" s="6">
        <v>2127.567</v>
      </c>
      <c r="I555" s="6">
        <v>2464.63</v>
      </c>
      <c r="J555" s="6">
        <v>0</v>
      </c>
      <c r="K555" s="6">
        <v>337.06299999999999</v>
      </c>
      <c r="L555" s="6">
        <v>0</v>
      </c>
      <c r="M555" s="6">
        <v>28.035</v>
      </c>
      <c r="N555">
        <v>156.142</v>
      </c>
    </row>
    <row r="556" spans="1:14">
      <c r="A556">
        <v>8798</v>
      </c>
      <c r="B556" t="s">
        <v>427</v>
      </c>
      <c r="C556" s="7">
        <v>42338</v>
      </c>
      <c r="D556" s="5">
        <v>30</v>
      </c>
      <c r="E556" s="12">
        <v>29.678000000000001</v>
      </c>
      <c r="F556" s="6">
        <v>0</v>
      </c>
      <c r="G556" s="6">
        <v>1.964</v>
      </c>
      <c r="H556" s="6">
        <v>2514.7890000000002</v>
      </c>
      <c r="I556" s="6">
        <v>2887.53</v>
      </c>
      <c r="J556" s="6">
        <v>0</v>
      </c>
      <c r="K556" s="6">
        <v>372.74099999999999</v>
      </c>
      <c r="L556" s="6">
        <v>0</v>
      </c>
      <c r="M556" s="6">
        <v>31.641999999999999</v>
      </c>
      <c r="N556">
        <v>184.56</v>
      </c>
    </row>
    <row r="557" spans="1:14">
      <c r="A557">
        <v>8962</v>
      </c>
      <c r="B557" t="s">
        <v>428</v>
      </c>
      <c r="C557" s="7">
        <v>42338</v>
      </c>
      <c r="D557" s="5">
        <v>30</v>
      </c>
      <c r="E557" s="12">
        <v>53.143000000000001</v>
      </c>
      <c r="F557" s="6">
        <v>0</v>
      </c>
      <c r="G557" s="6">
        <v>2.536</v>
      </c>
      <c r="H557" s="6">
        <v>3247.1120000000001</v>
      </c>
      <c r="I557" s="6">
        <v>3829</v>
      </c>
      <c r="J557" s="6">
        <v>0</v>
      </c>
      <c r="K557" s="6">
        <v>581.88800000000003</v>
      </c>
      <c r="L557" s="6">
        <v>0</v>
      </c>
      <c r="M557" s="6">
        <v>55.679000000000002</v>
      </c>
      <c r="N557">
        <v>238.30500000000001</v>
      </c>
    </row>
    <row r="558" spans="1:14">
      <c r="A558">
        <v>8878</v>
      </c>
      <c r="B558" t="s">
        <v>429</v>
      </c>
      <c r="C558" s="7">
        <v>42338</v>
      </c>
      <c r="D558" s="5">
        <v>30</v>
      </c>
      <c r="E558" s="12">
        <v>68.864999999999995</v>
      </c>
      <c r="F558" s="6">
        <v>0</v>
      </c>
      <c r="G558" s="6">
        <v>1.585</v>
      </c>
      <c r="H558" s="6">
        <v>2029.5029999999999</v>
      </c>
      <c r="I558" s="6">
        <v>2357.5300000000002</v>
      </c>
      <c r="J558" s="6">
        <v>0</v>
      </c>
      <c r="K558" s="6">
        <v>328.02699999999999</v>
      </c>
      <c r="L558" s="6">
        <v>0</v>
      </c>
      <c r="M558" s="6">
        <v>70.45</v>
      </c>
      <c r="N558">
        <v>148.946</v>
      </c>
    </row>
    <row r="559" spans="1:14">
      <c r="A559">
        <v>8876</v>
      </c>
      <c r="B559" t="s">
        <v>430</v>
      </c>
      <c r="C559" s="7">
        <v>42338</v>
      </c>
      <c r="D559" s="5">
        <v>30</v>
      </c>
      <c r="E559" s="12">
        <v>41.292000000000002</v>
      </c>
      <c r="F559" s="6">
        <v>0</v>
      </c>
      <c r="G559" s="6">
        <v>2.8679999999999999</v>
      </c>
      <c r="H559" s="6">
        <v>3672.424</v>
      </c>
      <c r="I559" s="6">
        <v>4116.83</v>
      </c>
      <c r="J559" s="6">
        <v>0</v>
      </c>
      <c r="K559" s="6">
        <v>444.40600000000001</v>
      </c>
      <c r="L559" s="6">
        <v>0</v>
      </c>
      <c r="M559" s="6">
        <v>44.16</v>
      </c>
      <c r="N559">
        <v>269.51900000000001</v>
      </c>
    </row>
    <row r="560" spans="1:14">
      <c r="A560">
        <v>8875</v>
      </c>
      <c r="B560" t="s">
        <v>431</v>
      </c>
      <c r="C560" s="7">
        <v>42338</v>
      </c>
      <c r="D560" s="5">
        <v>30</v>
      </c>
      <c r="E560" s="12">
        <v>52.369</v>
      </c>
      <c r="F560" s="6">
        <v>0</v>
      </c>
      <c r="G560" s="6">
        <v>3.2530000000000001</v>
      </c>
      <c r="H560" s="6">
        <v>4164.3029999999999</v>
      </c>
      <c r="I560" s="6">
        <v>4654.03</v>
      </c>
      <c r="J560" s="6">
        <v>0</v>
      </c>
      <c r="K560" s="6">
        <v>489.72699999999998</v>
      </c>
      <c r="L560" s="6">
        <v>0</v>
      </c>
      <c r="M560" s="6">
        <v>55.622</v>
      </c>
      <c r="N560">
        <v>305.61799999999999</v>
      </c>
    </row>
    <row r="561" spans="1:14">
      <c r="A561">
        <v>8874</v>
      </c>
      <c r="B561" t="s">
        <v>432</v>
      </c>
      <c r="C561" s="7">
        <v>42338</v>
      </c>
      <c r="D561" s="5">
        <v>28</v>
      </c>
      <c r="E561" s="12">
        <v>31.315000000000001</v>
      </c>
      <c r="F561" s="6">
        <v>0</v>
      </c>
      <c r="G561" s="6">
        <v>3.6059999999999999</v>
      </c>
      <c r="H561" s="6">
        <v>4617.45</v>
      </c>
      <c r="I561" s="6">
        <v>5161.13</v>
      </c>
      <c r="J561" s="6">
        <v>12.2</v>
      </c>
      <c r="K561" s="6">
        <v>531.48</v>
      </c>
      <c r="L561" s="6">
        <v>12.2</v>
      </c>
      <c r="M561" s="6">
        <v>34.920999999999999</v>
      </c>
      <c r="N561">
        <v>338.875</v>
      </c>
    </row>
    <row r="562" spans="1:14">
      <c r="A562">
        <v>8873</v>
      </c>
      <c r="B562" t="s">
        <v>433</v>
      </c>
      <c r="C562" s="7">
        <v>42338</v>
      </c>
      <c r="D562" s="5">
        <v>30</v>
      </c>
      <c r="E562" s="12">
        <v>20.347999999999999</v>
      </c>
      <c r="F562" s="6">
        <v>0</v>
      </c>
      <c r="G562" s="6">
        <v>2.4060000000000001</v>
      </c>
      <c r="H562" s="6">
        <v>3080.65</v>
      </c>
      <c r="I562" s="6">
        <v>3470.53</v>
      </c>
      <c r="J562" s="6">
        <v>0</v>
      </c>
      <c r="K562" s="6">
        <v>389.88</v>
      </c>
      <c r="L562" s="6">
        <v>0</v>
      </c>
      <c r="M562" s="6">
        <v>22.754000000000001</v>
      </c>
      <c r="N562">
        <v>226.089</v>
      </c>
    </row>
    <row r="563" spans="1:14">
      <c r="A563">
        <v>8891</v>
      </c>
      <c r="B563" t="s">
        <v>434</v>
      </c>
      <c r="C563" s="7">
        <v>42338</v>
      </c>
      <c r="D563" s="5">
        <v>30</v>
      </c>
      <c r="E563" s="12">
        <v>16.015999999999998</v>
      </c>
      <c r="F563" s="6">
        <v>0</v>
      </c>
      <c r="G563" s="6">
        <v>0.99099999999999999</v>
      </c>
      <c r="H563" s="6">
        <v>1268.9770000000001</v>
      </c>
      <c r="I563" s="6">
        <v>1491.93</v>
      </c>
      <c r="J563" s="6">
        <v>0</v>
      </c>
      <c r="K563" s="6">
        <v>222.953</v>
      </c>
      <c r="L563" s="6">
        <v>0</v>
      </c>
      <c r="M563" s="6">
        <v>17.007000000000001</v>
      </c>
      <c r="N563">
        <v>93.13</v>
      </c>
    </row>
    <row r="564" spans="1:14">
      <c r="A564">
        <v>9271</v>
      </c>
      <c r="B564" t="s">
        <v>435</v>
      </c>
      <c r="C564" s="7">
        <v>42338</v>
      </c>
      <c r="D564" s="5">
        <v>30</v>
      </c>
      <c r="E564" s="12">
        <v>23.579000000000001</v>
      </c>
      <c r="F564" s="6">
        <v>0</v>
      </c>
      <c r="G564" s="6">
        <v>1.861</v>
      </c>
      <c r="H564" s="6">
        <v>2382.2049999999999</v>
      </c>
      <c r="I564" s="6">
        <v>2707.73</v>
      </c>
      <c r="J564" s="6">
        <v>0</v>
      </c>
      <c r="K564" s="6">
        <v>325.52499999999998</v>
      </c>
      <c r="L564" s="6">
        <v>0</v>
      </c>
      <c r="M564" s="6">
        <v>25.44</v>
      </c>
      <c r="N564">
        <v>174.83</v>
      </c>
    </row>
    <row r="565" spans="1:14">
      <c r="A565">
        <v>9264</v>
      </c>
      <c r="B565" t="s">
        <v>436</v>
      </c>
      <c r="C565" s="7">
        <v>42338</v>
      </c>
      <c r="D565" s="5">
        <v>30</v>
      </c>
      <c r="E565" s="12">
        <v>23.263000000000002</v>
      </c>
      <c r="F565" s="6">
        <v>0</v>
      </c>
      <c r="G565" s="6">
        <v>1.4810000000000001</v>
      </c>
      <c r="H565" s="6">
        <v>1895.7280000000001</v>
      </c>
      <c r="I565" s="6">
        <v>2176.4299999999998</v>
      </c>
      <c r="J565" s="6">
        <v>0</v>
      </c>
      <c r="K565" s="6">
        <v>280.702</v>
      </c>
      <c r="L565" s="6">
        <v>0</v>
      </c>
      <c r="M565" s="6">
        <v>24.744</v>
      </c>
      <c r="N565">
        <v>139.12700000000001</v>
      </c>
    </row>
    <row r="566" spans="1:14">
      <c r="A566">
        <v>9267</v>
      </c>
      <c r="B566" t="s">
        <v>437</v>
      </c>
      <c r="C566" s="7">
        <v>42338</v>
      </c>
      <c r="D566" s="5">
        <v>30</v>
      </c>
      <c r="E566" s="12">
        <v>46.531999999999996</v>
      </c>
      <c r="F566" s="6">
        <v>0</v>
      </c>
      <c r="G566" s="6">
        <v>1.0920000000000001</v>
      </c>
      <c r="H566" s="6">
        <v>1398.4480000000001</v>
      </c>
      <c r="I566" s="6">
        <v>1633.53</v>
      </c>
      <c r="J566" s="6">
        <v>0</v>
      </c>
      <c r="K566" s="6">
        <v>235.08199999999999</v>
      </c>
      <c r="L566" s="6">
        <v>0</v>
      </c>
      <c r="M566" s="6">
        <v>47.624000000000002</v>
      </c>
      <c r="N566">
        <v>102.63200000000001</v>
      </c>
    </row>
    <row r="567" spans="1:14">
      <c r="A567">
        <v>8890</v>
      </c>
      <c r="B567" t="s">
        <v>438</v>
      </c>
      <c r="C567" s="7">
        <v>42338</v>
      </c>
      <c r="D567" s="5">
        <v>30</v>
      </c>
      <c r="E567" s="12">
        <v>17.411999999999999</v>
      </c>
      <c r="F567" s="6">
        <v>0</v>
      </c>
      <c r="G567" s="6">
        <v>1.276</v>
      </c>
      <c r="H567" s="6">
        <v>1633.491</v>
      </c>
      <c r="I567" s="6">
        <v>1890.03</v>
      </c>
      <c r="J567" s="6">
        <v>0</v>
      </c>
      <c r="K567" s="6">
        <v>256.53899999999999</v>
      </c>
      <c r="L567" s="6">
        <v>0</v>
      </c>
      <c r="M567" s="6">
        <v>18.687999999999999</v>
      </c>
      <c r="N567">
        <v>119.88200000000001</v>
      </c>
    </row>
    <row r="568" spans="1:14">
      <c r="A568">
        <v>9268</v>
      </c>
      <c r="B568" t="s">
        <v>439</v>
      </c>
      <c r="C568" s="7">
        <v>42338</v>
      </c>
      <c r="D568" s="5">
        <v>30</v>
      </c>
      <c r="E568" s="12">
        <v>69.715999999999994</v>
      </c>
      <c r="F568" s="6">
        <v>0</v>
      </c>
      <c r="G568" s="6">
        <v>1.4119999999999999</v>
      </c>
      <c r="H568" s="6">
        <v>1808.4690000000001</v>
      </c>
      <c r="I568" s="6">
        <v>2081.13</v>
      </c>
      <c r="J568" s="6">
        <v>0</v>
      </c>
      <c r="K568" s="6">
        <v>272.661</v>
      </c>
      <c r="L568" s="6">
        <v>0</v>
      </c>
      <c r="M568" s="6">
        <v>71.128</v>
      </c>
      <c r="N568">
        <v>132.72300000000001</v>
      </c>
    </row>
    <row r="569" spans="1:14">
      <c r="A569">
        <v>9269</v>
      </c>
      <c r="B569" t="s">
        <v>440</v>
      </c>
      <c r="C569" s="7">
        <v>42338</v>
      </c>
      <c r="D569" s="5">
        <v>30</v>
      </c>
      <c r="E569" s="12">
        <v>63.639000000000003</v>
      </c>
      <c r="F569" s="6">
        <v>0</v>
      </c>
      <c r="G569" s="6">
        <v>1.3280000000000001</v>
      </c>
      <c r="H569" s="6">
        <v>1699.7829999999999</v>
      </c>
      <c r="I569" s="6">
        <v>1962.43</v>
      </c>
      <c r="J569" s="6">
        <v>0</v>
      </c>
      <c r="K569" s="6">
        <v>262.64699999999999</v>
      </c>
      <c r="L569" s="6">
        <v>0</v>
      </c>
      <c r="M569" s="6">
        <v>64.966999999999999</v>
      </c>
      <c r="N569">
        <v>124.747</v>
      </c>
    </row>
    <row r="570" spans="1:14">
      <c r="A570">
        <v>9270</v>
      </c>
      <c r="B570" t="s">
        <v>441</v>
      </c>
      <c r="C570" s="7">
        <v>42338</v>
      </c>
      <c r="D570" s="5">
        <v>30</v>
      </c>
      <c r="E570" s="12">
        <v>40.808</v>
      </c>
      <c r="F570" s="6">
        <v>0</v>
      </c>
      <c r="G570" s="6">
        <v>2.3450000000000002</v>
      </c>
      <c r="H570" s="6">
        <v>3002.18</v>
      </c>
      <c r="I570" s="6">
        <v>3384.83</v>
      </c>
      <c r="J570" s="6">
        <v>0</v>
      </c>
      <c r="K570" s="6">
        <v>382.65</v>
      </c>
      <c r="L570" s="6">
        <v>0</v>
      </c>
      <c r="M570" s="6">
        <v>43.152999999999999</v>
      </c>
      <c r="N570">
        <v>220.33</v>
      </c>
    </row>
    <row r="571" spans="1:14">
      <c r="A571">
        <v>8888</v>
      </c>
      <c r="B571" t="s">
        <v>442</v>
      </c>
      <c r="C571" s="7">
        <v>42338</v>
      </c>
      <c r="D571" s="5">
        <v>30</v>
      </c>
      <c r="E571" s="12">
        <v>21.184999999999999</v>
      </c>
      <c r="F571" s="6">
        <v>0</v>
      </c>
      <c r="G571" s="6">
        <v>1.2529999999999999</v>
      </c>
      <c r="H571" s="6">
        <v>1604.8320000000001</v>
      </c>
      <c r="I571" s="6">
        <v>1858.73</v>
      </c>
      <c r="J571" s="6">
        <v>0</v>
      </c>
      <c r="K571" s="6">
        <v>253.898</v>
      </c>
      <c r="L571" s="6">
        <v>0</v>
      </c>
      <c r="M571" s="6">
        <v>22.437999999999999</v>
      </c>
      <c r="N571">
        <v>117.777</v>
      </c>
    </row>
    <row r="572" spans="1:14">
      <c r="A572">
        <v>9659</v>
      </c>
      <c r="B572" t="s">
        <v>443</v>
      </c>
      <c r="C572" s="7">
        <v>42338</v>
      </c>
      <c r="D572" s="5">
        <v>30</v>
      </c>
      <c r="E572" s="12">
        <v>69.585999999999999</v>
      </c>
      <c r="F572" s="6">
        <v>0</v>
      </c>
      <c r="G572" s="6">
        <v>1.629</v>
      </c>
      <c r="H572" s="6">
        <v>2085.8139999999999</v>
      </c>
      <c r="I572" s="6">
        <v>2384.23</v>
      </c>
      <c r="J572" s="6">
        <v>0</v>
      </c>
      <c r="K572" s="6">
        <v>298.416</v>
      </c>
      <c r="L572" s="6">
        <v>0</v>
      </c>
      <c r="M572" s="6">
        <v>71.215000000000003</v>
      </c>
      <c r="N572">
        <v>153.078</v>
      </c>
    </row>
    <row r="573" spans="1:14">
      <c r="A573">
        <v>9658</v>
      </c>
      <c r="B573" t="s">
        <v>444</v>
      </c>
      <c r="C573" s="7">
        <v>42338</v>
      </c>
      <c r="D573" s="5">
        <v>30</v>
      </c>
      <c r="E573" s="12">
        <v>68.763999999999996</v>
      </c>
      <c r="F573" s="6">
        <v>0</v>
      </c>
      <c r="G573" s="6">
        <v>1.5069999999999999</v>
      </c>
      <c r="H573" s="6">
        <v>1929.424</v>
      </c>
      <c r="I573" s="6">
        <v>2213.4299999999998</v>
      </c>
      <c r="J573" s="6">
        <v>0</v>
      </c>
      <c r="K573" s="6">
        <v>284.00599999999997</v>
      </c>
      <c r="L573" s="6">
        <v>0</v>
      </c>
      <c r="M573" s="6">
        <v>70.271000000000001</v>
      </c>
      <c r="N573">
        <v>141.6</v>
      </c>
    </row>
    <row r="574" spans="1:14">
      <c r="A574">
        <v>9656</v>
      </c>
      <c r="B574" t="s">
        <v>445</v>
      </c>
      <c r="C574" s="7">
        <v>42338</v>
      </c>
      <c r="D574" s="5">
        <v>30</v>
      </c>
      <c r="E574" s="12">
        <v>99.561000000000007</v>
      </c>
      <c r="F574" s="6">
        <v>0</v>
      </c>
      <c r="G574" s="6">
        <v>2.2629999999999999</v>
      </c>
      <c r="H574" s="6">
        <v>2897.5230000000001</v>
      </c>
      <c r="I574" s="6">
        <v>3376.57</v>
      </c>
      <c r="J574" s="6">
        <v>0</v>
      </c>
      <c r="K574" s="6">
        <v>479.04700000000003</v>
      </c>
      <c r="L574" s="6">
        <v>0</v>
      </c>
      <c r="M574" s="6">
        <v>101.824</v>
      </c>
      <c r="N574">
        <v>212.649</v>
      </c>
    </row>
    <row r="575" spans="1:14">
      <c r="A575">
        <v>8889</v>
      </c>
      <c r="B575" t="s">
        <v>446</v>
      </c>
      <c r="C575" s="7">
        <v>42338</v>
      </c>
      <c r="D575" s="5">
        <v>29</v>
      </c>
      <c r="E575" s="12">
        <v>47.51</v>
      </c>
      <c r="F575" s="6">
        <v>0</v>
      </c>
      <c r="G575" s="6">
        <v>0.81100000000000005</v>
      </c>
      <c r="H575" s="6">
        <v>1038.2370000000001</v>
      </c>
      <c r="I575" s="6">
        <v>1345.77</v>
      </c>
      <c r="J575" s="6">
        <v>0</v>
      </c>
      <c r="K575" s="6">
        <v>307.53300000000002</v>
      </c>
      <c r="L575" s="6">
        <v>0</v>
      </c>
      <c r="M575" s="6">
        <v>48.320999999999998</v>
      </c>
      <c r="N575">
        <v>76.195999999999998</v>
      </c>
    </row>
    <row r="576" spans="1:14">
      <c r="A576">
        <v>9265</v>
      </c>
      <c r="B576" t="s">
        <v>447</v>
      </c>
      <c r="C576" s="7">
        <v>42338</v>
      </c>
      <c r="D576" s="5">
        <v>0</v>
      </c>
      <c r="E576" s="12">
        <v>26.971</v>
      </c>
      <c r="F576" s="6">
        <v>0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26.971</v>
      </c>
      <c r="N576">
        <v>0</v>
      </c>
    </row>
    <row r="577" spans="1:14">
      <c r="A577">
        <v>9266</v>
      </c>
      <c r="B577" t="s">
        <v>448</v>
      </c>
      <c r="C577" s="7">
        <v>42338</v>
      </c>
      <c r="D577" s="5">
        <v>30</v>
      </c>
      <c r="E577" s="12">
        <v>40.942999999999998</v>
      </c>
      <c r="F577" s="6">
        <v>0</v>
      </c>
      <c r="G577" s="6">
        <v>0.88900000000000001</v>
      </c>
      <c r="H577" s="6">
        <v>1138.2249999999999</v>
      </c>
      <c r="I577" s="6">
        <v>1445.64</v>
      </c>
      <c r="J577" s="6">
        <v>0</v>
      </c>
      <c r="K577" s="6">
        <v>307.41500000000002</v>
      </c>
      <c r="L577" s="6">
        <v>0</v>
      </c>
      <c r="M577" s="6">
        <v>41.832000000000001</v>
      </c>
      <c r="N577">
        <v>83.534000000000006</v>
      </c>
    </row>
    <row r="578" spans="1:14">
      <c r="A578">
        <v>9657</v>
      </c>
      <c r="B578" t="s">
        <v>449</v>
      </c>
      <c r="C578" s="7">
        <v>42338</v>
      </c>
      <c r="D578" s="5">
        <v>30</v>
      </c>
      <c r="E578" s="12">
        <v>41.927</v>
      </c>
      <c r="F578" s="6">
        <v>0</v>
      </c>
      <c r="G578" s="6">
        <v>1.0840000000000001</v>
      </c>
      <c r="H578" s="6">
        <v>1388.1010000000001</v>
      </c>
      <c r="I578" s="6">
        <v>1728.07</v>
      </c>
      <c r="J578" s="6">
        <v>0</v>
      </c>
      <c r="K578" s="6">
        <v>339.96899999999999</v>
      </c>
      <c r="L578" s="6">
        <v>0</v>
      </c>
      <c r="M578" s="6">
        <v>43.011000000000003</v>
      </c>
      <c r="N578">
        <v>101.872</v>
      </c>
    </row>
    <row r="579" spans="1:14">
      <c r="A579">
        <v>9392</v>
      </c>
      <c r="B579" t="s">
        <v>450</v>
      </c>
      <c r="C579" s="7">
        <v>42338</v>
      </c>
      <c r="D579" s="5">
        <v>30</v>
      </c>
      <c r="E579" s="12">
        <v>27.771999999999998</v>
      </c>
      <c r="F579" s="6">
        <v>0</v>
      </c>
      <c r="G579" s="6">
        <v>1.667</v>
      </c>
      <c r="H579" s="6">
        <v>2134.0680000000002</v>
      </c>
      <c r="I579" s="6">
        <v>2456.62</v>
      </c>
      <c r="J579" s="6">
        <v>0</v>
      </c>
      <c r="K579" s="6">
        <v>322.55200000000002</v>
      </c>
      <c r="L579" s="6">
        <v>0</v>
      </c>
      <c r="M579" s="6">
        <v>29.439</v>
      </c>
      <c r="N579">
        <v>156.62</v>
      </c>
    </row>
    <row r="580" spans="1:14">
      <c r="A580">
        <v>9398</v>
      </c>
      <c r="B580" t="s">
        <v>451</v>
      </c>
      <c r="C580" s="7">
        <v>42338</v>
      </c>
      <c r="D580" s="5">
        <v>30</v>
      </c>
      <c r="E580" s="12">
        <v>28.021000000000001</v>
      </c>
      <c r="F580" s="6">
        <v>0</v>
      </c>
      <c r="G580" s="6">
        <v>1.603</v>
      </c>
      <c r="H580" s="6">
        <v>2052.8510000000001</v>
      </c>
      <c r="I580" s="6">
        <v>2348.23</v>
      </c>
      <c r="J580" s="6">
        <v>0</v>
      </c>
      <c r="K580" s="6">
        <v>295.37900000000002</v>
      </c>
      <c r="L580" s="6">
        <v>0</v>
      </c>
      <c r="M580" s="6">
        <v>29.623999999999999</v>
      </c>
      <c r="N580">
        <v>150.65899999999999</v>
      </c>
    </row>
    <row r="581" spans="1:14">
      <c r="A581">
        <v>9397</v>
      </c>
      <c r="B581" t="s">
        <v>452</v>
      </c>
      <c r="C581" s="7">
        <v>42338</v>
      </c>
      <c r="D581" s="5">
        <v>30</v>
      </c>
      <c r="E581" s="12">
        <v>21.456</v>
      </c>
      <c r="F581" s="6">
        <v>0</v>
      </c>
      <c r="G581" s="6">
        <v>1.2190000000000001</v>
      </c>
      <c r="H581" s="6">
        <v>1560.5150000000001</v>
      </c>
      <c r="I581" s="6">
        <v>1810.53</v>
      </c>
      <c r="J581" s="6">
        <v>0</v>
      </c>
      <c r="K581" s="6">
        <v>250.01499999999999</v>
      </c>
      <c r="L581" s="6">
        <v>0</v>
      </c>
      <c r="M581" s="6">
        <v>22.675000000000001</v>
      </c>
      <c r="N581">
        <v>114.526</v>
      </c>
    </row>
    <row r="582" spans="1:14">
      <c r="A582">
        <v>9396</v>
      </c>
      <c r="B582" t="s">
        <v>453</v>
      </c>
      <c r="C582" s="7">
        <v>42338</v>
      </c>
      <c r="D582" s="5">
        <v>30</v>
      </c>
      <c r="E582" s="12">
        <v>13.333</v>
      </c>
      <c r="F582" s="6">
        <v>0</v>
      </c>
      <c r="G582" s="6">
        <v>0.77600000000000002</v>
      </c>
      <c r="H582" s="6">
        <v>993.92</v>
      </c>
      <c r="I582" s="6">
        <v>1191.73</v>
      </c>
      <c r="J582" s="6">
        <v>0</v>
      </c>
      <c r="K582" s="6">
        <v>197.81</v>
      </c>
      <c r="L582" s="6">
        <v>0</v>
      </c>
      <c r="M582" s="6">
        <v>14.109</v>
      </c>
      <c r="N582">
        <v>72.942999999999998</v>
      </c>
    </row>
    <row r="583" spans="1:14">
      <c r="A583">
        <v>8896</v>
      </c>
      <c r="B583" t="s">
        <v>454</v>
      </c>
      <c r="C583" s="7">
        <v>42338</v>
      </c>
      <c r="D583" s="5">
        <v>27</v>
      </c>
      <c r="E583" s="12">
        <v>29.814</v>
      </c>
      <c r="F583" s="6">
        <v>0</v>
      </c>
      <c r="G583" s="6">
        <v>3.19</v>
      </c>
      <c r="H583" s="6">
        <v>4083.91</v>
      </c>
      <c r="I583" s="6">
        <v>4566.43</v>
      </c>
      <c r="J583" s="6">
        <v>0</v>
      </c>
      <c r="K583" s="6">
        <v>482.52</v>
      </c>
      <c r="L583" s="6">
        <v>0</v>
      </c>
      <c r="M583" s="6">
        <v>33.003999999999998</v>
      </c>
      <c r="N583">
        <v>299.71800000000002</v>
      </c>
    </row>
    <row r="584" spans="1:14">
      <c r="A584">
        <v>9399</v>
      </c>
      <c r="B584" t="s">
        <v>812</v>
      </c>
      <c r="C584" s="7">
        <v>42338</v>
      </c>
      <c r="D584" s="5">
        <v>30</v>
      </c>
      <c r="E584" s="12">
        <v>7.27</v>
      </c>
      <c r="F584" s="6">
        <v>0</v>
      </c>
      <c r="G584" s="6">
        <v>2.11</v>
      </c>
      <c r="H584" s="6">
        <v>2701.6689999999999</v>
      </c>
      <c r="I584" s="6">
        <v>3056.63</v>
      </c>
      <c r="J584" s="6">
        <v>0</v>
      </c>
      <c r="K584" s="6">
        <v>354.96100000000001</v>
      </c>
      <c r="L584" s="6">
        <v>0</v>
      </c>
      <c r="M584" s="6">
        <v>9.3800000000000008</v>
      </c>
      <c r="N584">
        <v>198.27500000000001</v>
      </c>
    </row>
    <row r="585" spans="1:14">
      <c r="A585">
        <v>8892</v>
      </c>
      <c r="B585" t="s">
        <v>1050</v>
      </c>
      <c r="C585" s="7">
        <v>42338</v>
      </c>
      <c r="D585" s="5">
        <v>5</v>
      </c>
      <c r="E585" s="12">
        <v>0</v>
      </c>
      <c r="F585" s="6">
        <v>0</v>
      </c>
      <c r="G585" s="6">
        <v>0.31900000000000001</v>
      </c>
      <c r="H585" s="6">
        <v>408.55599999999998</v>
      </c>
      <c r="I585" s="6">
        <v>552.23</v>
      </c>
      <c r="J585" s="6">
        <v>0</v>
      </c>
      <c r="K585" s="6">
        <v>143.67400000000001</v>
      </c>
      <c r="L585" s="6">
        <v>0</v>
      </c>
      <c r="M585" s="6">
        <v>0.31900000000000001</v>
      </c>
      <c r="N585">
        <v>29.983000000000001</v>
      </c>
    </row>
    <row r="586" spans="1:14">
      <c r="A586">
        <v>8894</v>
      </c>
      <c r="B586" t="s">
        <v>455</v>
      </c>
      <c r="C586" s="7">
        <v>42338</v>
      </c>
      <c r="D586" s="5">
        <v>27</v>
      </c>
      <c r="E586" s="12">
        <v>6.2380000000000004</v>
      </c>
      <c r="F586" s="6">
        <v>0</v>
      </c>
      <c r="G586" s="6">
        <v>0.63300000000000001</v>
      </c>
      <c r="H586" s="6">
        <v>809.69500000000005</v>
      </c>
      <c r="I586" s="6">
        <v>990.53</v>
      </c>
      <c r="J586" s="6">
        <v>0</v>
      </c>
      <c r="K586" s="6">
        <v>180.83500000000001</v>
      </c>
      <c r="L586" s="6">
        <v>0</v>
      </c>
      <c r="M586" s="6">
        <v>6.8710000000000004</v>
      </c>
      <c r="N586">
        <v>59.423999999999999</v>
      </c>
    </row>
    <row r="587" spans="1:14">
      <c r="A587">
        <v>9395</v>
      </c>
      <c r="B587" t="s">
        <v>456</v>
      </c>
      <c r="C587" s="7">
        <v>42338</v>
      </c>
      <c r="D587" s="5">
        <v>30</v>
      </c>
      <c r="E587" s="12">
        <v>55.222000000000001</v>
      </c>
      <c r="F587" s="6">
        <v>0</v>
      </c>
      <c r="G587" s="6">
        <v>1.2709999999999999</v>
      </c>
      <c r="H587" s="6">
        <v>1627.8140000000001</v>
      </c>
      <c r="I587" s="6">
        <v>1884.03</v>
      </c>
      <c r="J587" s="6">
        <v>0</v>
      </c>
      <c r="K587" s="6">
        <v>256.21600000000001</v>
      </c>
      <c r="L587" s="6">
        <v>0</v>
      </c>
      <c r="M587" s="6">
        <v>56.493000000000002</v>
      </c>
      <c r="N587">
        <v>119.465</v>
      </c>
    </row>
    <row r="588" spans="1:14">
      <c r="A588">
        <v>9394</v>
      </c>
      <c r="B588" t="s">
        <v>457</v>
      </c>
      <c r="C588" s="7">
        <v>42338</v>
      </c>
      <c r="D588" s="5">
        <v>30</v>
      </c>
      <c r="E588" s="12">
        <v>25.71</v>
      </c>
      <c r="F588" s="6">
        <v>0</v>
      </c>
      <c r="G588" s="6">
        <v>0.68200000000000005</v>
      </c>
      <c r="H588" s="6">
        <v>873.423</v>
      </c>
      <c r="I588" s="6">
        <v>1060.1300000000001</v>
      </c>
      <c r="J588" s="6">
        <v>0</v>
      </c>
      <c r="K588" s="6">
        <v>186.70699999999999</v>
      </c>
      <c r="L588" s="6">
        <v>0</v>
      </c>
      <c r="M588" s="6">
        <v>26.391999999999999</v>
      </c>
      <c r="N588">
        <v>64.099999999999994</v>
      </c>
    </row>
    <row r="589" spans="1:14">
      <c r="A589">
        <v>9393</v>
      </c>
      <c r="B589" t="s">
        <v>458</v>
      </c>
      <c r="C589" s="7">
        <v>42338</v>
      </c>
      <c r="D589" s="5">
        <v>0</v>
      </c>
      <c r="E589" s="12">
        <v>12.46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12.46</v>
      </c>
      <c r="N589">
        <v>0</v>
      </c>
    </row>
    <row r="590" spans="1:14">
      <c r="A590">
        <v>8899</v>
      </c>
      <c r="B590" t="s">
        <v>459</v>
      </c>
      <c r="C590" s="7">
        <v>42338</v>
      </c>
      <c r="D590" s="5">
        <v>30</v>
      </c>
      <c r="E590" s="12">
        <v>35.759</v>
      </c>
      <c r="F590" s="6">
        <v>0</v>
      </c>
      <c r="G590" s="6">
        <v>1.7270000000000001</v>
      </c>
      <c r="H590" s="6">
        <v>2211.6219999999998</v>
      </c>
      <c r="I590" s="6">
        <v>2556.4299999999998</v>
      </c>
      <c r="J590" s="6">
        <v>0</v>
      </c>
      <c r="K590" s="6">
        <v>344.80799999999999</v>
      </c>
      <c r="L590" s="6">
        <v>0</v>
      </c>
      <c r="M590" s="6">
        <v>37.485999999999997</v>
      </c>
      <c r="N590">
        <v>162.31100000000001</v>
      </c>
    </row>
    <row r="591" spans="1:14">
      <c r="A591">
        <v>9278</v>
      </c>
      <c r="B591" t="s">
        <v>460</v>
      </c>
      <c r="C591" s="7">
        <v>42338</v>
      </c>
      <c r="D591" s="5">
        <v>30</v>
      </c>
      <c r="E591" s="12">
        <v>111.334</v>
      </c>
      <c r="F591" s="6">
        <v>0</v>
      </c>
      <c r="G591" s="6">
        <v>1.9259999999999999</v>
      </c>
      <c r="H591" s="6">
        <v>2466.2600000000002</v>
      </c>
      <c r="I591" s="6">
        <v>2799.73</v>
      </c>
      <c r="J591" s="6">
        <v>0</v>
      </c>
      <c r="K591" s="6">
        <v>333.47</v>
      </c>
      <c r="L591" s="6">
        <v>0</v>
      </c>
      <c r="M591" s="6">
        <v>113.26</v>
      </c>
      <c r="N591">
        <v>180.999</v>
      </c>
    </row>
    <row r="592" spans="1:14">
      <c r="A592">
        <v>9279</v>
      </c>
      <c r="B592" t="s">
        <v>1051</v>
      </c>
      <c r="C592" s="7">
        <v>42338</v>
      </c>
      <c r="D592" s="5">
        <v>0</v>
      </c>
      <c r="E592" s="12">
        <v>0</v>
      </c>
      <c r="F592" s="6">
        <v>0</v>
      </c>
      <c r="G592" s="6">
        <v>0</v>
      </c>
      <c r="H592" s="6">
        <v>0.54900000000000004</v>
      </c>
      <c r="I592" s="6">
        <v>141.63</v>
      </c>
      <c r="J592" s="6">
        <v>0</v>
      </c>
      <c r="K592" s="6">
        <v>141.08099999999999</v>
      </c>
      <c r="L592" s="6">
        <v>0</v>
      </c>
      <c r="M592" s="6">
        <v>0</v>
      </c>
      <c r="N592">
        <v>0.04</v>
      </c>
    </row>
    <row r="593" spans="1:14">
      <c r="A593">
        <v>9272</v>
      </c>
      <c r="B593" t="s">
        <v>461</v>
      </c>
      <c r="C593" s="7">
        <v>42338</v>
      </c>
      <c r="D593" s="5">
        <v>30</v>
      </c>
      <c r="E593" s="12">
        <v>57.798999999999999</v>
      </c>
      <c r="F593" s="6">
        <v>0</v>
      </c>
      <c r="G593" s="6">
        <v>1.7629999999999999</v>
      </c>
      <c r="H593" s="6">
        <v>2256.9459999999999</v>
      </c>
      <c r="I593" s="6">
        <v>2605.9299999999998</v>
      </c>
      <c r="J593" s="6">
        <v>0</v>
      </c>
      <c r="K593" s="6">
        <v>348.98399999999998</v>
      </c>
      <c r="L593" s="6">
        <v>0</v>
      </c>
      <c r="M593" s="6">
        <v>59.561999999999998</v>
      </c>
      <c r="N593">
        <v>165.637</v>
      </c>
    </row>
    <row r="594" spans="1:14">
      <c r="A594">
        <v>8898</v>
      </c>
      <c r="B594" t="s">
        <v>462</v>
      </c>
      <c r="C594" s="7">
        <v>42338</v>
      </c>
      <c r="D594" s="5">
        <v>30</v>
      </c>
      <c r="E594" s="12">
        <v>25.949000000000002</v>
      </c>
      <c r="F594" s="6">
        <v>0</v>
      </c>
      <c r="G594" s="6">
        <v>2.7519999999999998</v>
      </c>
      <c r="H594" s="6">
        <v>3522.9929999999999</v>
      </c>
      <c r="I594" s="6">
        <v>3953.63</v>
      </c>
      <c r="J594" s="6">
        <v>0</v>
      </c>
      <c r="K594" s="6">
        <v>430.637</v>
      </c>
      <c r="L594" s="6">
        <v>0</v>
      </c>
      <c r="M594" s="6">
        <v>28.701000000000001</v>
      </c>
      <c r="N594">
        <v>258.55200000000002</v>
      </c>
    </row>
    <row r="595" spans="1:14">
      <c r="A595">
        <v>9273</v>
      </c>
      <c r="B595" t="s">
        <v>463</v>
      </c>
      <c r="C595" s="7">
        <v>42338</v>
      </c>
      <c r="D595" s="5">
        <v>30</v>
      </c>
      <c r="E595" s="12">
        <v>25.855</v>
      </c>
      <c r="F595" s="6">
        <v>0</v>
      </c>
      <c r="G595" s="6">
        <v>1.972</v>
      </c>
      <c r="H595" s="6">
        <v>2524.3110000000001</v>
      </c>
      <c r="I595" s="6">
        <v>2898.57</v>
      </c>
      <c r="J595" s="6">
        <v>35.44</v>
      </c>
      <c r="K595" s="6">
        <v>338.81900000000002</v>
      </c>
      <c r="L595" s="6">
        <v>35.44</v>
      </c>
      <c r="M595" s="6">
        <v>27.827000000000002</v>
      </c>
      <c r="N595">
        <v>185.25899999999999</v>
      </c>
    </row>
    <row r="596" spans="1:14">
      <c r="A596">
        <v>9274</v>
      </c>
      <c r="B596" t="s">
        <v>464</v>
      </c>
      <c r="C596" s="7">
        <v>42338</v>
      </c>
      <c r="D596" s="5">
        <v>30</v>
      </c>
      <c r="E596" s="12">
        <v>28.498999999999999</v>
      </c>
      <c r="F596" s="6">
        <v>0</v>
      </c>
      <c r="G596" s="6">
        <v>2.6160000000000001</v>
      </c>
      <c r="H596" s="6">
        <v>3349.5720000000001</v>
      </c>
      <c r="I596" s="6">
        <v>3764.43</v>
      </c>
      <c r="J596" s="6">
        <v>0</v>
      </c>
      <c r="K596" s="6">
        <v>414.858</v>
      </c>
      <c r="L596" s="6">
        <v>0</v>
      </c>
      <c r="M596" s="6">
        <v>31.114999999999998</v>
      </c>
      <c r="N596">
        <v>245.82400000000001</v>
      </c>
    </row>
    <row r="597" spans="1:14">
      <c r="A597">
        <v>9275</v>
      </c>
      <c r="B597" t="s">
        <v>465</v>
      </c>
      <c r="C597" s="7">
        <v>42338</v>
      </c>
      <c r="D597" s="5">
        <v>30</v>
      </c>
      <c r="E597" s="12">
        <v>29.312999999999999</v>
      </c>
      <c r="F597" s="6">
        <v>0</v>
      </c>
      <c r="G597" s="6">
        <v>2.4769999999999999</v>
      </c>
      <c r="H597" s="6">
        <v>3169.9250000000002</v>
      </c>
      <c r="I597" s="6">
        <v>3744.9</v>
      </c>
      <c r="J597" s="6">
        <v>0</v>
      </c>
      <c r="K597" s="6">
        <v>574.97500000000002</v>
      </c>
      <c r="L597" s="6">
        <v>0</v>
      </c>
      <c r="M597" s="6">
        <v>31.79</v>
      </c>
      <c r="N597">
        <v>232.643</v>
      </c>
    </row>
    <row r="598" spans="1:14">
      <c r="A598">
        <v>9276</v>
      </c>
      <c r="B598" t="s">
        <v>466</v>
      </c>
      <c r="C598" s="7">
        <v>42338</v>
      </c>
      <c r="D598" s="5">
        <v>28</v>
      </c>
      <c r="E598" s="12">
        <v>91.992999999999995</v>
      </c>
      <c r="F598" s="6">
        <v>0</v>
      </c>
      <c r="G598" s="6">
        <v>1.347</v>
      </c>
      <c r="H598" s="6">
        <v>1724.8710000000001</v>
      </c>
      <c r="I598" s="6">
        <v>1989.83</v>
      </c>
      <c r="J598" s="6">
        <v>0</v>
      </c>
      <c r="K598" s="6">
        <v>264.959</v>
      </c>
      <c r="L598" s="6">
        <v>0</v>
      </c>
      <c r="M598" s="6">
        <v>93.34</v>
      </c>
      <c r="N598">
        <v>126.58799999999999</v>
      </c>
    </row>
    <row r="599" spans="1:14">
      <c r="A599">
        <v>8893</v>
      </c>
      <c r="B599" t="s">
        <v>467</v>
      </c>
      <c r="C599" s="7">
        <v>42338</v>
      </c>
      <c r="D599" s="5">
        <v>27</v>
      </c>
      <c r="E599" s="12">
        <v>12.321999999999999</v>
      </c>
      <c r="F599" s="6">
        <v>0</v>
      </c>
      <c r="G599" s="6">
        <v>1.1759999999999999</v>
      </c>
      <c r="H599" s="6">
        <v>1505.8510000000001</v>
      </c>
      <c r="I599" s="6">
        <v>1750.83</v>
      </c>
      <c r="J599" s="6">
        <v>0</v>
      </c>
      <c r="K599" s="6">
        <v>244.97900000000001</v>
      </c>
      <c r="L599" s="6">
        <v>0</v>
      </c>
      <c r="M599" s="6">
        <v>13.497999999999999</v>
      </c>
      <c r="N599">
        <v>110.514</v>
      </c>
    </row>
    <row r="600" spans="1:14">
      <c r="A600">
        <v>9158</v>
      </c>
      <c r="B600" t="s">
        <v>468</v>
      </c>
      <c r="C600" s="7">
        <v>42338</v>
      </c>
      <c r="D600" s="5">
        <v>30</v>
      </c>
      <c r="E600" s="12">
        <v>20.864999999999998</v>
      </c>
      <c r="F600" s="6">
        <v>0</v>
      </c>
      <c r="G600" s="6">
        <v>2.7309999999999999</v>
      </c>
      <c r="H600" s="6">
        <v>3496.5309999999999</v>
      </c>
      <c r="I600" s="6">
        <v>3959.73</v>
      </c>
      <c r="J600" s="6">
        <v>0</v>
      </c>
      <c r="K600" s="6">
        <v>463.19900000000001</v>
      </c>
      <c r="L600" s="6">
        <v>0</v>
      </c>
      <c r="M600" s="6">
        <v>23.596</v>
      </c>
      <c r="N600">
        <v>256.61</v>
      </c>
    </row>
    <row r="601" spans="1:14">
      <c r="A601">
        <v>9156</v>
      </c>
      <c r="B601" t="s">
        <v>469</v>
      </c>
      <c r="C601" s="7">
        <v>42338</v>
      </c>
      <c r="D601" s="5">
        <v>30</v>
      </c>
      <c r="E601" s="12">
        <v>15.287000000000001</v>
      </c>
      <c r="F601" s="6">
        <v>0</v>
      </c>
      <c r="G601" s="6">
        <v>1.6930000000000001</v>
      </c>
      <c r="H601" s="6">
        <v>2168.13</v>
      </c>
      <c r="I601" s="6">
        <v>2508.9299999999998</v>
      </c>
      <c r="J601" s="6">
        <v>0</v>
      </c>
      <c r="K601" s="6">
        <v>340.8</v>
      </c>
      <c r="L601" s="6">
        <v>0</v>
      </c>
      <c r="M601" s="6">
        <v>16.98</v>
      </c>
      <c r="N601">
        <v>159.119</v>
      </c>
    </row>
    <row r="602" spans="1:14">
      <c r="A602">
        <v>9152</v>
      </c>
      <c r="B602" t="s">
        <v>470</v>
      </c>
      <c r="C602" s="7">
        <v>42338</v>
      </c>
      <c r="D602" s="5">
        <v>30</v>
      </c>
      <c r="E602" s="12">
        <v>60.731000000000002</v>
      </c>
      <c r="F602" s="6">
        <v>0</v>
      </c>
      <c r="G602" s="6">
        <v>2.1309999999999998</v>
      </c>
      <c r="H602" s="6">
        <v>2728.7730000000001</v>
      </c>
      <c r="I602" s="6">
        <v>3121.23</v>
      </c>
      <c r="J602" s="6">
        <v>0</v>
      </c>
      <c r="K602" s="6">
        <v>392.45699999999999</v>
      </c>
      <c r="L602" s="6">
        <v>0</v>
      </c>
      <c r="M602" s="6">
        <v>62.862000000000002</v>
      </c>
      <c r="N602">
        <v>200.26499999999999</v>
      </c>
    </row>
    <row r="603" spans="1:14">
      <c r="A603">
        <v>9262</v>
      </c>
      <c r="B603" t="s">
        <v>471</v>
      </c>
      <c r="C603" s="7">
        <v>42338</v>
      </c>
      <c r="D603" s="5">
        <v>0</v>
      </c>
      <c r="E603" s="12">
        <v>7.3220000000000001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7.3220000000000001</v>
      </c>
      <c r="N603">
        <v>0</v>
      </c>
    </row>
    <row r="604" spans="1:14">
      <c r="A604">
        <v>9263</v>
      </c>
      <c r="B604" t="s">
        <v>472</v>
      </c>
      <c r="C604" s="7">
        <v>42338</v>
      </c>
      <c r="D604" s="5">
        <v>30</v>
      </c>
      <c r="E604" s="12">
        <v>58.235999999999997</v>
      </c>
      <c r="F604" s="6">
        <v>0</v>
      </c>
      <c r="G604" s="6">
        <v>1.881</v>
      </c>
      <c r="H604" s="6">
        <v>2407.8420000000001</v>
      </c>
      <c r="I604" s="6">
        <v>2770.73</v>
      </c>
      <c r="J604" s="6">
        <v>0</v>
      </c>
      <c r="K604" s="6">
        <v>362.88799999999998</v>
      </c>
      <c r="L604" s="6">
        <v>0</v>
      </c>
      <c r="M604" s="6">
        <v>60.116999999999997</v>
      </c>
      <c r="N604">
        <v>176.71199999999999</v>
      </c>
    </row>
    <row r="605" spans="1:14">
      <c r="A605">
        <v>9157</v>
      </c>
      <c r="B605" t="s">
        <v>473</v>
      </c>
      <c r="C605" s="7">
        <v>42338</v>
      </c>
      <c r="D605" s="5">
        <v>30</v>
      </c>
      <c r="E605" s="12">
        <v>10.77</v>
      </c>
      <c r="F605" s="6">
        <v>0</v>
      </c>
      <c r="G605" s="6">
        <v>1.3580000000000001</v>
      </c>
      <c r="H605" s="6">
        <v>1738.1479999999999</v>
      </c>
      <c r="I605" s="6">
        <v>2039.33</v>
      </c>
      <c r="J605" s="6">
        <v>0</v>
      </c>
      <c r="K605" s="6">
        <v>301.18200000000002</v>
      </c>
      <c r="L605" s="6">
        <v>0</v>
      </c>
      <c r="M605" s="6">
        <v>12.128</v>
      </c>
      <c r="N605">
        <v>127.562</v>
      </c>
    </row>
    <row r="606" spans="1:14">
      <c r="A606">
        <v>9155</v>
      </c>
      <c r="B606" t="s">
        <v>474</v>
      </c>
      <c r="C606" s="7">
        <v>42338</v>
      </c>
      <c r="D606" s="5">
        <v>30</v>
      </c>
      <c r="E606" s="12">
        <v>9.8879999999999999</v>
      </c>
      <c r="F606" s="6">
        <v>0</v>
      </c>
      <c r="G606" s="6">
        <v>1.52</v>
      </c>
      <c r="H606" s="6">
        <v>1946.6379999999999</v>
      </c>
      <c r="I606" s="6">
        <v>2267.0300000000002</v>
      </c>
      <c r="J606" s="6">
        <v>0</v>
      </c>
      <c r="K606" s="6">
        <v>320.392</v>
      </c>
      <c r="L606" s="6">
        <v>0</v>
      </c>
      <c r="M606" s="6">
        <v>11.407999999999999</v>
      </c>
      <c r="N606">
        <v>142.863</v>
      </c>
    </row>
    <row r="607" spans="1:14">
      <c r="A607">
        <v>9153</v>
      </c>
      <c r="B607" t="s">
        <v>475</v>
      </c>
      <c r="C607" s="7">
        <v>42338</v>
      </c>
      <c r="D607" s="5">
        <v>30</v>
      </c>
      <c r="E607" s="12">
        <v>15.526</v>
      </c>
      <c r="F607" s="6">
        <v>0</v>
      </c>
      <c r="G607" s="6">
        <v>2.3969999999999998</v>
      </c>
      <c r="H607" s="6">
        <v>3068.7469999999998</v>
      </c>
      <c r="I607" s="6">
        <v>3492.53</v>
      </c>
      <c r="J607" s="6">
        <v>0</v>
      </c>
      <c r="K607" s="6">
        <v>423.78300000000002</v>
      </c>
      <c r="L607" s="6">
        <v>0</v>
      </c>
      <c r="M607" s="6">
        <v>17.922999999999998</v>
      </c>
      <c r="N607">
        <v>225.215</v>
      </c>
    </row>
    <row r="608" spans="1:14">
      <c r="A608">
        <v>9154</v>
      </c>
      <c r="B608" t="s">
        <v>476</v>
      </c>
      <c r="C608" s="7">
        <v>42338</v>
      </c>
      <c r="D608" s="5">
        <v>30</v>
      </c>
      <c r="E608" s="12">
        <v>16.218</v>
      </c>
      <c r="F608" s="6">
        <v>0</v>
      </c>
      <c r="G608" s="6">
        <v>2.4740000000000002</v>
      </c>
      <c r="H608" s="6">
        <v>3167.6350000000002</v>
      </c>
      <c r="I608" s="6">
        <v>3600.53</v>
      </c>
      <c r="J608" s="6">
        <v>0</v>
      </c>
      <c r="K608" s="6">
        <v>432.89499999999998</v>
      </c>
      <c r="L608" s="6">
        <v>0</v>
      </c>
      <c r="M608" s="6">
        <v>18.692</v>
      </c>
      <c r="N608">
        <v>232.47300000000001</v>
      </c>
    </row>
    <row r="609" spans="1:14">
      <c r="A609">
        <v>9426</v>
      </c>
      <c r="B609" t="s">
        <v>715</v>
      </c>
      <c r="C609" s="7">
        <v>42338</v>
      </c>
      <c r="D609" s="5">
        <v>30</v>
      </c>
      <c r="E609" s="12">
        <v>42.531999999999996</v>
      </c>
      <c r="F609" s="6">
        <v>0.71099999999999997</v>
      </c>
      <c r="G609" s="6">
        <v>0.63500000000000001</v>
      </c>
      <c r="H609" s="6">
        <v>834.58500000000004</v>
      </c>
      <c r="I609" s="6">
        <v>992.88</v>
      </c>
      <c r="J609" s="6">
        <v>0</v>
      </c>
      <c r="K609" s="6">
        <v>158.29499999999999</v>
      </c>
      <c r="L609" s="6">
        <v>0</v>
      </c>
      <c r="M609" s="6">
        <v>42.456000000000003</v>
      </c>
      <c r="N609">
        <v>2.0830000000000002</v>
      </c>
    </row>
    <row r="610" spans="1:14">
      <c r="A610">
        <v>9424</v>
      </c>
      <c r="B610" t="s">
        <v>716</v>
      </c>
      <c r="C610" s="7">
        <v>42338</v>
      </c>
      <c r="D610" s="5">
        <v>30</v>
      </c>
      <c r="E610" s="12">
        <v>10.441000000000001</v>
      </c>
      <c r="F610" s="6">
        <v>0.93700000000000006</v>
      </c>
      <c r="G610" s="6">
        <v>0.77</v>
      </c>
      <c r="H610" s="6">
        <v>1012.497</v>
      </c>
      <c r="I610" s="6">
        <v>1174.23</v>
      </c>
      <c r="J610" s="6">
        <v>0</v>
      </c>
      <c r="K610" s="6">
        <v>161.733</v>
      </c>
      <c r="L610" s="6">
        <v>0</v>
      </c>
      <c r="M610" s="6">
        <v>10.273999999999999</v>
      </c>
      <c r="N610">
        <v>2.5270000000000001</v>
      </c>
    </row>
    <row r="611" spans="1:14">
      <c r="A611">
        <v>9423</v>
      </c>
      <c r="B611" t="s">
        <v>717</v>
      </c>
      <c r="C611" s="7">
        <v>42338</v>
      </c>
      <c r="D611" s="5">
        <v>29</v>
      </c>
      <c r="E611" s="12">
        <v>16.527999999999999</v>
      </c>
      <c r="F611" s="6">
        <v>0.54900000000000004</v>
      </c>
      <c r="G611" s="6">
        <v>0.49199999999999999</v>
      </c>
      <c r="H611" s="6">
        <v>646.721</v>
      </c>
      <c r="I611" s="6">
        <v>965.4</v>
      </c>
      <c r="J611" s="6">
        <v>0</v>
      </c>
      <c r="K611" s="6">
        <v>318.67899999999997</v>
      </c>
      <c r="L611" s="6">
        <v>0</v>
      </c>
      <c r="M611" s="6">
        <v>16.471</v>
      </c>
      <c r="N611">
        <v>1.6140000000000001</v>
      </c>
    </row>
    <row r="612" spans="1:14">
      <c r="A612">
        <v>9422</v>
      </c>
      <c r="B612" t="s">
        <v>718</v>
      </c>
      <c r="C612" s="7">
        <v>42338</v>
      </c>
      <c r="D612" s="5">
        <v>30</v>
      </c>
      <c r="E612" s="12">
        <v>4.68</v>
      </c>
      <c r="F612" s="6">
        <v>0.47299999999999998</v>
      </c>
      <c r="G612" s="6">
        <v>0.76700000000000002</v>
      </c>
      <c r="H612" s="6">
        <v>461.22500000000002</v>
      </c>
      <c r="I612" s="6">
        <v>572.28</v>
      </c>
      <c r="J612" s="6">
        <v>0.08</v>
      </c>
      <c r="K612" s="6">
        <v>110.97499999999999</v>
      </c>
      <c r="L612" s="6">
        <v>0</v>
      </c>
      <c r="M612" s="6">
        <v>4.9740000000000002</v>
      </c>
      <c r="N612">
        <v>23.584</v>
      </c>
    </row>
    <row r="613" spans="1:14">
      <c r="A613">
        <v>9425</v>
      </c>
      <c r="B613" t="s">
        <v>719</v>
      </c>
      <c r="C613" s="7">
        <v>42338</v>
      </c>
      <c r="D613" s="5">
        <v>0</v>
      </c>
      <c r="E613" s="12">
        <v>32.972999999999999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32.972999999999999</v>
      </c>
      <c r="N613">
        <v>0</v>
      </c>
    </row>
    <row r="614" spans="1:14">
      <c r="A614">
        <v>9431</v>
      </c>
      <c r="B614" t="s">
        <v>720</v>
      </c>
      <c r="C614" s="7">
        <v>42338</v>
      </c>
      <c r="D614" s="5">
        <v>30</v>
      </c>
      <c r="E614" s="12">
        <v>14.263</v>
      </c>
      <c r="F614" s="6">
        <v>0.35799999999999998</v>
      </c>
      <c r="G614" s="6">
        <v>0.28699999999999998</v>
      </c>
      <c r="H614" s="6">
        <v>377.34</v>
      </c>
      <c r="I614" s="6">
        <v>482.47</v>
      </c>
      <c r="J614" s="6">
        <v>0</v>
      </c>
      <c r="K614" s="6">
        <v>105.13</v>
      </c>
      <c r="L614" s="6">
        <v>0</v>
      </c>
      <c r="M614" s="6">
        <v>14.192</v>
      </c>
      <c r="N614">
        <v>0.94199999999999995</v>
      </c>
    </row>
    <row r="615" spans="1:14">
      <c r="A615">
        <v>9437</v>
      </c>
      <c r="B615" t="s">
        <v>721</v>
      </c>
      <c r="C615" s="7">
        <v>42338</v>
      </c>
      <c r="D615" s="5">
        <v>0</v>
      </c>
      <c r="E615" s="12">
        <v>15.465</v>
      </c>
      <c r="F615" s="6">
        <v>0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15.465</v>
      </c>
      <c r="N615">
        <v>0</v>
      </c>
    </row>
    <row r="616" spans="1:14">
      <c r="A616">
        <v>9427</v>
      </c>
      <c r="B616" t="s">
        <v>722</v>
      </c>
      <c r="C616" s="7">
        <v>42338</v>
      </c>
      <c r="D616" s="5">
        <v>30</v>
      </c>
      <c r="E616" s="12">
        <v>38.088999999999999</v>
      </c>
      <c r="F616" s="6">
        <v>4.3029999999999999</v>
      </c>
      <c r="G616" s="6">
        <v>8.5530000000000008</v>
      </c>
      <c r="H616" s="6">
        <v>5143.8109999999997</v>
      </c>
      <c r="I616" s="6">
        <v>5513.34</v>
      </c>
      <c r="J616" s="6">
        <v>0.94</v>
      </c>
      <c r="K616" s="6">
        <v>368.589</v>
      </c>
      <c r="L616" s="6">
        <v>0</v>
      </c>
      <c r="M616" s="6">
        <v>42.338999999999999</v>
      </c>
      <c r="N616">
        <v>263.02199999999999</v>
      </c>
    </row>
    <row r="617" spans="1:14">
      <c r="A617">
        <v>9428</v>
      </c>
      <c r="B617" t="s">
        <v>723</v>
      </c>
      <c r="C617" s="7">
        <v>42338</v>
      </c>
      <c r="D617" s="5">
        <v>30</v>
      </c>
      <c r="E617" s="12">
        <v>21.745999999999999</v>
      </c>
      <c r="F617" s="6">
        <v>0.89900000000000002</v>
      </c>
      <c r="G617" s="6">
        <v>14.656000000000001</v>
      </c>
      <c r="H617" s="6">
        <v>1045.577</v>
      </c>
      <c r="I617" s="6">
        <v>1191.51</v>
      </c>
      <c r="J617" s="6">
        <v>2.81</v>
      </c>
      <c r="K617" s="6">
        <v>143.12299999999999</v>
      </c>
      <c r="L617" s="6">
        <v>0</v>
      </c>
      <c r="M617" s="6">
        <v>35.503</v>
      </c>
      <c r="N617">
        <v>38.676000000000002</v>
      </c>
    </row>
    <row r="618" spans="1:14">
      <c r="A618">
        <v>9429</v>
      </c>
      <c r="B618" t="s">
        <v>724</v>
      </c>
      <c r="C618" s="7">
        <v>42338</v>
      </c>
      <c r="D618" s="5">
        <v>30</v>
      </c>
      <c r="E618" s="12">
        <v>32.566000000000003</v>
      </c>
      <c r="F618" s="6">
        <v>1.06</v>
      </c>
      <c r="G618" s="6">
        <v>17.042000000000002</v>
      </c>
      <c r="H618" s="6">
        <v>1215.7170000000001</v>
      </c>
      <c r="I618" s="6">
        <v>1370.24</v>
      </c>
      <c r="J618" s="6">
        <v>3.27</v>
      </c>
      <c r="K618" s="6">
        <v>151.25299999999999</v>
      </c>
      <c r="L618" s="6">
        <v>0</v>
      </c>
      <c r="M618" s="6">
        <v>48.548000000000002</v>
      </c>
      <c r="N618">
        <v>44.966999999999999</v>
      </c>
    </row>
    <row r="619" spans="1:14">
      <c r="A619">
        <v>9069</v>
      </c>
      <c r="B619" t="s">
        <v>477</v>
      </c>
      <c r="C619" s="7">
        <v>42338</v>
      </c>
      <c r="D619" s="5">
        <v>30</v>
      </c>
      <c r="E619" s="12">
        <v>7.6870000000000003</v>
      </c>
      <c r="F619" s="6">
        <v>2.7160000000000002</v>
      </c>
      <c r="G619" s="6">
        <v>3.2530000000000001</v>
      </c>
      <c r="H619" s="6">
        <v>3283.5540000000001</v>
      </c>
      <c r="I619" s="6">
        <v>3676.22</v>
      </c>
      <c r="J619" s="6">
        <v>0.15</v>
      </c>
      <c r="K619" s="6">
        <v>392.51600000000002</v>
      </c>
      <c r="L619" s="6">
        <v>0</v>
      </c>
      <c r="M619" s="6">
        <v>8.2240000000000002</v>
      </c>
      <c r="N619">
        <v>91.334999999999994</v>
      </c>
    </row>
    <row r="620" spans="1:14">
      <c r="A620">
        <v>9210</v>
      </c>
      <c r="B620" t="s">
        <v>478</v>
      </c>
      <c r="C620" s="7">
        <v>42338</v>
      </c>
      <c r="D620" s="5">
        <v>29</v>
      </c>
      <c r="E620" s="12">
        <v>4.2210000000000001</v>
      </c>
      <c r="F620" s="6">
        <v>1.415</v>
      </c>
      <c r="G620" s="6">
        <v>1.454</v>
      </c>
      <c r="H620" s="6">
        <v>1466.7080000000001</v>
      </c>
      <c r="I620" s="6">
        <v>1660.43</v>
      </c>
      <c r="J620" s="6">
        <v>7.0000000000000007E-2</v>
      </c>
      <c r="K620" s="6">
        <v>193.65199999999999</v>
      </c>
      <c r="L620" s="6">
        <v>0</v>
      </c>
      <c r="M620" s="6">
        <v>4.26</v>
      </c>
      <c r="N620">
        <v>40.798000000000002</v>
      </c>
    </row>
    <row r="621" spans="1:14">
      <c r="A621">
        <v>9067</v>
      </c>
      <c r="B621" t="s">
        <v>479</v>
      </c>
      <c r="C621" s="7">
        <v>42338</v>
      </c>
      <c r="D621" s="5">
        <v>30</v>
      </c>
      <c r="E621" s="12">
        <v>3.6760000000000002</v>
      </c>
      <c r="F621" s="6">
        <v>1.304</v>
      </c>
      <c r="G621" s="6">
        <v>1.5580000000000001</v>
      </c>
      <c r="H621" s="6">
        <v>1571.2570000000001</v>
      </c>
      <c r="I621" s="6">
        <v>1763.8</v>
      </c>
      <c r="J621" s="6">
        <v>7.0000000000000007E-2</v>
      </c>
      <c r="K621" s="6">
        <v>192.47300000000001</v>
      </c>
      <c r="L621" s="6">
        <v>0</v>
      </c>
      <c r="M621" s="6">
        <v>3.93</v>
      </c>
      <c r="N621">
        <v>43.706000000000003</v>
      </c>
    </row>
    <row r="622" spans="1:14">
      <c r="A622">
        <v>9066</v>
      </c>
      <c r="B622" t="s">
        <v>480</v>
      </c>
      <c r="C622" s="7">
        <v>42338</v>
      </c>
      <c r="D622" s="5">
        <v>27</v>
      </c>
      <c r="E622" s="12">
        <v>2.5409999999999999</v>
      </c>
      <c r="F622" s="6">
        <v>0.89</v>
      </c>
      <c r="G622" s="6">
        <v>0.96499999999999997</v>
      </c>
      <c r="H622" s="6">
        <v>975.43600000000004</v>
      </c>
      <c r="I622" s="6">
        <v>1170.74</v>
      </c>
      <c r="J622" s="6">
        <v>35.61</v>
      </c>
      <c r="K622" s="6">
        <v>159.69399999999999</v>
      </c>
      <c r="L622" s="6">
        <v>35.56</v>
      </c>
      <c r="M622" s="6">
        <v>2.6160000000000001</v>
      </c>
      <c r="N622">
        <v>27.131</v>
      </c>
    </row>
    <row r="623" spans="1:14">
      <c r="A623">
        <v>9212</v>
      </c>
      <c r="B623" t="s">
        <v>481</v>
      </c>
      <c r="C623" s="7">
        <v>42338</v>
      </c>
      <c r="D623" s="5">
        <v>30</v>
      </c>
      <c r="E623" s="12">
        <v>6.22</v>
      </c>
      <c r="F623" s="6">
        <v>1.3320000000000001</v>
      </c>
      <c r="G623" s="6">
        <v>2.4500000000000002</v>
      </c>
      <c r="H623" s="6">
        <v>1575.712</v>
      </c>
      <c r="I623" s="6">
        <v>1768.68</v>
      </c>
      <c r="J623" s="6">
        <v>0.25</v>
      </c>
      <c r="K623" s="6">
        <v>192.71799999999999</v>
      </c>
      <c r="L623" s="6">
        <v>0</v>
      </c>
      <c r="M623" s="6">
        <v>7.3380000000000001</v>
      </c>
      <c r="N623">
        <v>50.088000000000001</v>
      </c>
    </row>
    <row r="624" spans="1:14">
      <c r="A624">
        <v>9064</v>
      </c>
      <c r="B624" t="s">
        <v>482</v>
      </c>
      <c r="C624" s="7">
        <v>42338</v>
      </c>
      <c r="D624" s="5">
        <v>30</v>
      </c>
      <c r="E624" s="12">
        <v>12.619</v>
      </c>
      <c r="F624" s="6">
        <v>1.5269999999999999</v>
      </c>
      <c r="G624" s="6">
        <v>2.7789999999999999</v>
      </c>
      <c r="H624" s="6">
        <v>1786.799</v>
      </c>
      <c r="I624" s="6">
        <v>1969.76</v>
      </c>
      <c r="J624" s="6">
        <v>0.28999999999999998</v>
      </c>
      <c r="K624" s="6">
        <v>182.67099999999999</v>
      </c>
      <c r="L624" s="6">
        <v>0</v>
      </c>
      <c r="M624" s="6">
        <v>13.871</v>
      </c>
      <c r="N624">
        <v>56.798000000000002</v>
      </c>
    </row>
    <row r="625" spans="1:14">
      <c r="A625">
        <v>9062</v>
      </c>
      <c r="B625" t="s">
        <v>483</v>
      </c>
      <c r="C625" s="7">
        <v>42338</v>
      </c>
      <c r="D625" s="5">
        <v>30</v>
      </c>
      <c r="E625" s="12">
        <v>3.3980000000000001</v>
      </c>
      <c r="F625" s="6">
        <v>0.69199999999999995</v>
      </c>
      <c r="G625" s="6">
        <v>1.242</v>
      </c>
      <c r="H625" s="6">
        <v>798.37699999999995</v>
      </c>
      <c r="I625" s="6">
        <v>926.8</v>
      </c>
      <c r="J625" s="6">
        <v>0.13</v>
      </c>
      <c r="K625" s="6">
        <v>128.29300000000001</v>
      </c>
      <c r="L625" s="6">
        <v>0</v>
      </c>
      <c r="M625" s="6">
        <v>3.948</v>
      </c>
      <c r="N625">
        <v>25.379000000000001</v>
      </c>
    </row>
    <row r="626" spans="1:14">
      <c r="A626">
        <v>9213</v>
      </c>
      <c r="B626" t="s">
        <v>484</v>
      </c>
      <c r="C626" s="7">
        <v>42338</v>
      </c>
      <c r="D626" s="5">
        <v>30</v>
      </c>
      <c r="E626" s="12">
        <v>18.053000000000001</v>
      </c>
      <c r="F626" s="6">
        <v>1.5189999999999999</v>
      </c>
      <c r="G626" s="6">
        <v>1.5089999999999999</v>
      </c>
      <c r="H626" s="6">
        <v>1863.954</v>
      </c>
      <c r="I626" s="6">
        <v>2072.5500000000002</v>
      </c>
      <c r="J626" s="6">
        <v>0.02</v>
      </c>
      <c r="K626" s="6">
        <v>208.57599999999999</v>
      </c>
      <c r="L626" s="6">
        <v>0</v>
      </c>
      <c r="M626" s="6">
        <v>18.042999999999999</v>
      </c>
      <c r="N626">
        <v>84.867000000000004</v>
      </c>
    </row>
    <row r="627" spans="1:14">
      <c r="A627">
        <v>9209</v>
      </c>
      <c r="B627" t="s">
        <v>485</v>
      </c>
      <c r="C627" s="7">
        <v>42338</v>
      </c>
      <c r="D627" s="5">
        <v>30</v>
      </c>
      <c r="E627" s="12">
        <v>19.369</v>
      </c>
      <c r="F627" s="6">
        <v>1.81</v>
      </c>
      <c r="G627" s="6">
        <v>1.8120000000000001</v>
      </c>
      <c r="H627" s="6">
        <v>2237.598</v>
      </c>
      <c r="I627" s="6">
        <v>2466.75</v>
      </c>
      <c r="J627" s="6">
        <v>0.02</v>
      </c>
      <c r="K627" s="6">
        <v>229.13200000000001</v>
      </c>
      <c r="L627" s="6">
        <v>0</v>
      </c>
      <c r="M627" s="6">
        <v>19.370999999999999</v>
      </c>
      <c r="N627">
        <v>101.88</v>
      </c>
    </row>
    <row r="628" spans="1:14">
      <c r="A628">
        <v>9063</v>
      </c>
      <c r="B628" t="s">
        <v>486</v>
      </c>
      <c r="C628" s="7">
        <v>42338</v>
      </c>
      <c r="D628" s="5">
        <v>30</v>
      </c>
      <c r="E628" s="12">
        <v>11.667999999999999</v>
      </c>
      <c r="F628" s="6">
        <v>1.165</v>
      </c>
      <c r="G628" s="6">
        <v>1.123</v>
      </c>
      <c r="H628" s="6">
        <v>1386.1410000000001</v>
      </c>
      <c r="I628" s="6">
        <v>1568.44</v>
      </c>
      <c r="J628" s="6">
        <v>0.01</v>
      </c>
      <c r="K628" s="6">
        <v>182.28899999999999</v>
      </c>
      <c r="L628" s="6">
        <v>0</v>
      </c>
      <c r="M628" s="6">
        <v>11.625999999999999</v>
      </c>
      <c r="N628">
        <v>63.112000000000002</v>
      </c>
    </row>
    <row r="629" spans="1:14">
      <c r="A629">
        <v>9065</v>
      </c>
      <c r="B629" t="s">
        <v>487</v>
      </c>
      <c r="C629" s="7">
        <v>42338</v>
      </c>
      <c r="D629" s="5">
        <v>30</v>
      </c>
      <c r="E629" s="12">
        <v>16.562999999999999</v>
      </c>
      <c r="F629" s="6">
        <v>2.3570000000000002</v>
      </c>
      <c r="G629" s="6">
        <v>2.3319999999999999</v>
      </c>
      <c r="H629" s="6">
        <v>2880.1469999999999</v>
      </c>
      <c r="I629" s="6">
        <v>3144.66</v>
      </c>
      <c r="J629" s="6">
        <v>0.03</v>
      </c>
      <c r="K629" s="6">
        <v>264.483</v>
      </c>
      <c r="L629" s="6">
        <v>0</v>
      </c>
      <c r="M629" s="6">
        <v>16.538</v>
      </c>
      <c r="N629">
        <v>131.136</v>
      </c>
    </row>
    <row r="630" spans="1:14">
      <c r="A630">
        <v>9208</v>
      </c>
      <c r="B630" t="s">
        <v>488</v>
      </c>
      <c r="C630" s="7">
        <v>42338</v>
      </c>
      <c r="D630" s="5">
        <v>30</v>
      </c>
      <c r="E630" s="12">
        <v>7.7809999999999997</v>
      </c>
      <c r="F630" s="6">
        <v>1.601</v>
      </c>
      <c r="G630" s="6">
        <v>3.2519999999999998</v>
      </c>
      <c r="H630" s="6">
        <v>2091.4389999999999</v>
      </c>
      <c r="I630" s="6">
        <v>2312.87</v>
      </c>
      <c r="J630" s="6">
        <v>0.34</v>
      </c>
      <c r="K630" s="6">
        <v>221.09100000000001</v>
      </c>
      <c r="L630" s="6">
        <v>0</v>
      </c>
      <c r="M630" s="6">
        <v>9.4320000000000004</v>
      </c>
      <c r="N630">
        <v>66.480999999999995</v>
      </c>
    </row>
    <row r="631" spans="1:14">
      <c r="A631">
        <v>10973</v>
      </c>
      <c r="B631" t="s">
        <v>489</v>
      </c>
      <c r="C631" s="7">
        <v>42338</v>
      </c>
      <c r="D631" s="5">
        <v>26</v>
      </c>
      <c r="E631" s="12">
        <v>52.774000000000001</v>
      </c>
      <c r="F631" s="6">
        <v>0</v>
      </c>
      <c r="G631" s="6">
        <v>0</v>
      </c>
      <c r="H631" s="6">
        <v>934</v>
      </c>
      <c r="I631" s="6">
        <v>1114.33</v>
      </c>
      <c r="J631" s="6">
        <v>0</v>
      </c>
      <c r="K631" s="6">
        <v>180.33</v>
      </c>
      <c r="L631" s="6">
        <v>0</v>
      </c>
      <c r="M631" s="6">
        <v>52.774000000000001</v>
      </c>
      <c r="N631">
        <v>0</v>
      </c>
    </row>
    <row r="632" spans="1:14" s="20" customFormat="1">
      <c r="A632" s="20">
        <v>16838</v>
      </c>
      <c r="B632" s="20" t="s">
        <v>735</v>
      </c>
      <c r="C632" s="21">
        <v>42338</v>
      </c>
      <c r="D632" s="22">
        <v>29</v>
      </c>
      <c r="E632" s="23">
        <v>45.917999999999999</v>
      </c>
      <c r="F632" s="24">
        <v>15.632</v>
      </c>
      <c r="G632" s="24">
        <v>15.801</v>
      </c>
      <c r="H632" s="24">
        <v>6939.6679999999997</v>
      </c>
      <c r="I632" s="24">
        <v>7537.15</v>
      </c>
      <c r="J632" s="24">
        <v>0</v>
      </c>
      <c r="K632" s="24">
        <v>597.48199999999997</v>
      </c>
      <c r="L632" s="24">
        <v>0</v>
      </c>
      <c r="M632" s="24">
        <v>46.087000000000003</v>
      </c>
      <c r="N632" s="20">
        <v>73.332999999999998</v>
      </c>
    </row>
    <row r="633" spans="1:14" s="20" customFormat="1">
      <c r="A633" s="20">
        <v>16837</v>
      </c>
      <c r="B633" s="20" t="s">
        <v>770</v>
      </c>
      <c r="C633" s="21">
        <v>42338</v>
      </c>
      <c r="D633" s="22">
        <v>30</v>
      </c>
      <c r="E633" s="23">
        <v>86.097999999999999</v>
      </c>
      <c r="F633" s="24">
        <v>16.728000000000002</v>
      </c>
      <c r="G633" s="24">
        <v>16.722999999999999</v>
      </c>
      <c r="H633" s="24">
        <v>14482.57</v>
      </c>
      <c r="I633" s="24">
        <v>15422.25</v>
      </c>
      <c r="J633" s="24">
        <v>0</v>
      </c>
      <c r="K633" s="24">
        <v>939.68</v>
      </c>
      <c r="L633" s="24">
        <v>0</v>
      </c>
      <c r="M633" s="24">
        <v>86.093000000000004</v>
      </c>
      <c r="N633" s="20">
        <v>962.66700000000003</v>
      </c>
    </row>
    <row r="634" spans="1:14" s="20" customFormat="1">
      <c r="A634" s="20">
        <v>14202</v>
      </c>
      <c r="B634" s="20" t="s">
        <v>644</v>
      </c>
      <c r="C634" s="21">
        <v>42338</v>
      </c>
      <c r="D634" s="22">
        <v>30</v>
      </c>
      <c r="E634" s="23">
        <v>29.093</v>
      </c>
      <c r="F634" s="24">
        <v>3.3479999999999999</v>
      </c>
      <c r="G634" s="24">
        <v>3.177</v>
      </c>
      <c r="H634" s="24">
        <v>8213.2880000000005</v>
      </c>
      <c r="I634" s="24">
        <v>8868.5499999999993</v>
      </c>
      <c r="J634" s="24">
        <v>0</v>
      </c>
      <c r="K634" s="24">
        <v>655.26199999999994</v>
      </c>
      <c r="L634" s="24">
        <v>0</v>
      </c>
      <c r="M634" s="24">
        <v>28.922000000000001</v>
      </c>
      <c r="N634" s="20">
        <v>813.58299999999997</v>
      </c>
    </row>
    <row r="635" spans="1:14" s="20" customFormat="1">
      <c r="A635" s="20">
        <v>14203</v>
      </c>
      <c r="B635" s="20" t="s">
        <v>754</v>
      </c>
      <c r="C635" s="21">
        <v>42338</v>
      </c>
      <c r="D635" s="22">
        <v>24</v>
      </c>
      <c r="E635" s="23">
        <v>8.9390000000000001</v>
      </c>
      <c r="F635" s="24">
        <v>0.218</v>
      </c>
      <c r="G635" s="24">
        <v>0.13900000000000001</v>
      </c>
      <c r="H635" s="24">
        <v>1140.078</v>
      </c>
      <c r="I635" s="24">
        <v>1474.45</v>
      </c>
      <c r="J635" s="24">
        <v>0</v>
      </c>
      <c r="K635" s="24">
        <v>334.37200000000001</v>
      </c>
      <c r="L635" s="24">
        <v>0</v>
      </c>
      <c r="M635" s="24">
        <v>8.86</v>
      </c>
      <c r="N635" s="20">
        <v>216.667</v>
      </c>
    </row>
    <row r="636" spans="1:14" s="20" customFormat="1">
      <c r="A636" s="20">
        <v>10930</v>
      </c>
      <c r="B636" s="20" t="s">
        <v>673</v>
      </c>
      <c r="C636" s="21">
        <v>42338</v>
      </c>
      <c r="D636" s="22">
        <v>30</v>
      </c>
      <c r="E636" s="23">
        <v>10.292999999999999</v>
      </c>
      <c r="F636" s="24">
        <v>6.16</v>
      </c>
      <c r="G636" s="24">
        <v>4.58</v>
      </c>
      <c r="H636" s="24">
        <v>1921.8130000000001</v>
      </c>
      <c r="I636" s="24">
        <v>2291.65</v>
      </c>
      <c r="J636" s="24">
        <v>0</v>
      </c>
      <c r="K636" s="24">
        <v>369.83699999999999</v>
      </c>
      <c r="L636" s="24">
        <v>0</v>
      </c>
      <c r="M636" s="24">
        <v>8.7129999999999992</v>
      </c>
      <c r="N636" s="20">
        <v>33.521999999999998</v>
      </c>
    </row>
    <row r="637" spans="1:14" s="37" customFormat="1">
      <c r="A637" s="37">
        <v>13795</v>
      </c>
      <c r="B637" s="37" t="s">
        <v>755</v>
      </c>
      <c r="C637" s="38">
        <v>42338</v>
      </c>
      <c r="D637" s="39">
        <v>30</v>
      </c>
      <c r="E637" s="40">
        <v>23.451000000000001</v>
      </c>
      <c r="F637" s="41">
        <v>2.637</v>
      </c>
      <c r="G637" s="41">
        <v>0.41</v>
      </c>
      <c r="H637" s="41">
        <v>3350.5940000000001</v>
      </c>
      <c r="I637" s="41">
        <v>3785.25</v>
      </c>
      <c r="J637" s="41">
        <v>0</v>
      </c>
      <c r="K637" s="41">
        <v>434.65600000000001</v>
      </c>
      <c r="L637" s="41">
        <v>0</v>
      </c>
      <c r="M637" s="41">
        <v>21.224</v>
      </c>
      <c r="N637" s="37">
        <v>0</v>
      </c>
    </row>
    <row r="638" spans="1:14">
      <c r="A638">
        <v>9603</v>
      </c>
      <c r="B638" t="s">
        <v>956</v>
      </c>
      <c r="C638" s="7">
        <v>42338</v>
      </c>
      <c r="D638" s="5">
        <v>30</v>
      </c>
      <c r="E638" s="12">
        <v>14.973000000000001</v>
      </c>
      <c r="F638" s="6">
        <v>1.3380000000000001</v>
      </c>
      <c r="G638" s="6">
        <v>3.702</v>
      </c>
      <c r="H638" s="6">
        <v>2669.6990000000001</v>
      </c>
      <c r="I638" s="6">
        <v>2917.33</v>
      </c>
      <c r="J638" s="6">
        <v>0</v>
      </c>
      <c r="K638" s="6">
        <v>247.631</v>
      </c>
      <c r="L638" s="6">
        <v>0</v>
      </c>
      <c r="M638" s="6">
        <v>17.337</v>
      </c>
      <c r="N638">
        <v>66.003</v>
      </c>
    </row>
    <row r="639" spans="1:14">
      <c r="A639">
        <v>8938</v>
      </c>
      <c r="B639" t="s">
        <v>490</v>
      </c>
      <c r="C639" s="7">
        <v>42338</v>
      </c>
      <c r="D639" s="5">
        <v>30</v>
      </c>
      <c r="E639" s="12">
        <v>10.571999999999999</v>
      </c>
      <c r="F639" s="6">
        <v>0.754</v>
      </c>
      <c r="G639" s="6">
        <v>0.92300000000000004</v>
      </c>
      <c r="H639" s="6">
        <v>1584.857</v>
      </c>
      <c r="I639" s="6">
        <v>1885.29</v>
      </c>
      <c r="J639" s="6">
        <v>0</v>
      </c>
      <c r="K639" s="6">
        <v>300.43299999999999</v>
      </c>
      <c r="L639" s="6">
        <v>0</v>
      </c>
      <c r="M639" s="6">
        <v>10.741</v>
      </c>
      <c r="N639">
        <v>6.4160000000000004</v>
      </c>
    </row>
    <row r="640" spans="1:14">
      <c r="A640">
        <v>9341</v>
      </c>
      <c r="B640" t="s">
        <v>491</v>
      </c>
      <c r="C640" s="7">
        <v>42338</v>
      </c>
      <c r="D640" s="5">
        <v>30</v>
      </c>
      <c r="E640" s="12">
        <v>24.300999999999998</v>
      </c>
      <c r="F640" s="6">
        <v>0.91300000000000003</v>
      </c>
      <c r="G640" s="6">
        <v>2.6949999999999998</v>
      </c>
      <c r="H640" s="6">
        <v>1886.3869999999999</v>
      </c>
      <c r="I640" s="6">
        <v>2077.92</v>
      </c>
      <c r="J640" s="6">
        <v>0.32</v>
      </c>
      <c r="K640" s="6">
        <v>191.21299999999999</v>
      </c>
      <c r="L640" s="6">
        <v>0</v>
      </c>
      <c r="M640" s="6">
        <v>26.082999999999998</v>
      </c>
      <c r="N640">
        <v>95.269000000000005</v>
      </c>
    </row>
    <row r="641" spans="1:14">
      <c r="A641">
        <v>9340</v>
      </c>
      <c r="B641" t="s">
        <v>492</v>
      </c>
      <c r="C641" s="7">
        <v>42338</v>
      </c>
      <c r="D641" s="5">
        <v>30</v>
      </c>
      <c r="E641" s="12">
        <v>15.977</v>
      </c>
      <c r="F641" s="6">
        <v>0.92900000000000005</v>
      </c>
      <c r="G641" s="6">
        <v>2.734</v>
      </c>
      <c r="H641" s="6">
        <v>1913.548</v>
      </c>
      <c r="I641" s="6">
        <v>2099.6</v>
      </c>
      <c r="J641" s="6">
        <v>0.33</v>
      </c>
      <c r="K641" s="6">
        <v>185.72200000000001</v>
      </c>
      <c r="L641" s="6">
        <v>0</v>
      </c>
      <c r="M641" s="6">
        <v>17.782</v>
      </c>
      <c r="N641">
        <v>96.641000000000005</v>
      </c>
    </row>
    <row r="642" spans="1:14">
      <c r="A642">
        <v>9342</v>
      </c>
      <c r="B642" t="s">
        <v>493</v>
      </c>
      <c r="C642" s="7">
        <v>42338</v>
      </c>
      <c r="D642" s="5">
        <v>30</v>
      </c>
      <c r="E642" s="12">
        <v>11.93</v>
      </c>
      <c r="F642" s="6">
        <v>0.45200000000000001</v>
      </c>
      <c r="G642" s="6">
        <v>1.3009999999999999</v>
      </c>
      <c r="H642" s="6">
        <v>911.33100000000002</v>
      </c>
      <c r="I642" s="6">
        <v>1044.1300000000001</v>
      </c>
      <c r="J642" s="6">
        <v>0.16</v>
      </c>
      <c r="K642" s="6">
        <v>132.63900000000001</v>
      </c>
      <c r="L642" s="6">
        <v>0</v>
      </c>
      <c r="M642" s="6">
        <v>12.779</v>
      </c>
      <c r="N642">
        <v>46.024999999999999</v>
      </c>
    </row>
    <row r="643" spans="1:14">
      <c r="A643">
        <v>8937</v>
      </c>
      <c r="B643" t="s">
        <v>494</v>
      </c>
      <c r="C643" s="7">
        <v>42338</v>
      </c>
      <c r="D643" s="5">
        <v>30</v>
      </c>
      <c r="E643" s="12">
        <v>1.4339999999999999</v>
      </c>
      <c r="F643" s="6">
        <v>5.3999999999999999E-2</v>
      </c>
      <c r="G643" s="6">
        <v>6.2E-2</v>
      </c>
      <c r="H643" s="6">
        <v>106.366</v>
      </c>
      <c r="I643" s="6">
        <v>218.03</v>
      </c>
      <c r="J643" s="6">
        <v>0</v>
      </c>
      <c r="K643" s="6">
        <v>111.664</v>
      </c>
      <c r="L643" s="6">
        <v>0</v>
      </c>
      <c r="M643" s="6">
        <v>1.4419999999999999</v>
      </c>
      <c r="N643">
        <v>0.43099999999999999</v>
      </c>
    </row>
    <row r="644" spans="1:14">
      <c r="A644">
        <v>9343</v>
      </c>
      <c r="B644" t="s">
        <v>495</v>
      </c>
      <c r="C644" s="7">
        <v>42338</v>
      </c>
      <c r="D644" s="5">
        <v>30</v>
      </c>
      <c r="E644" s="12">
        <v>12.755000000000001</v>
      </c>
      <c r="F644" s="6">
        <v>0.51300000000000001</v>
      </c>
      <c r="G644" s="6">
        <v>1.5029999999999999</v>
      </c>
      <c r="H644" s="6">
        <v>1052.742</v>
      </c>
      <c r="I644" s="6">
        <v>1214.71</v>
      </c>
      <c r="J644" s="6">
        <v>0.18</v>
      </c>
      <c r="K644" s="6">
        <v>161.78800000000001</v>
      </c>
      <c r="L644" s="6">
        <v>0</v>
      </c>
      <c r="M644" s="6">
        <v>13.744999999999999</v>
      </c>
      <c r="N644">
        <v>53.167000000000002</v>
      </c>
    </row>
    <row r="645" spans="1:14">
      <c r="A645">
        <v>9344</v>
      </c>
      <c r="B645" t="s">
        <v>496</v>
      </c>
      <c r="C645" s="7">
        <v>42338</v>
      </c>
      <c r="D645" s="5">
        <v>30</v>
      </c>
      <c r="E645" s="12">
        <v>24.992999999999999</v>
      </c>
      <c r="F645" s="6">
        <v>1.0569999999999999</v>
      </c>
      <c r="G645" s="6">
        <v>7.0220000000000002</v>
      </c>
      <c r="H645" s="6">
        <v>2131.1239999999998</v>
      </c>
      <c r="I645" s="6">
        <v>2351.1999999999998</v>
      </c>
      <c r="J645" s="6">
        <v>1.17</v>
      </c>
      <c r="K645" s="6">
        <v>218.90600000000001</v>
      </c>
      <c r="L645" s="6">
        <v>0</v>
      </c>
      <c r="M645" s="6">
        <v>30.957999999999998</v>
      </c>
      <c r="N645">
        <v>209.51499999999999</v>
      </c>
    </row>
    <row r="646" spans="1:14">
      <c r="A646">
        <v>9345</v>
      </c>
      <c r="B646" t="s">
        <v>497</v>
      </c>
      <c r="C646" s="7">
        <v>42338</v>
      </c>
      <c r="D646" s="5">
        <v>30</v>
      </c>
      <c r="E646" s="12">
        <v>14.356999999999999</v>
      </c>
      <c r="F646" s="6">
        <v>0.59399999999999997</v>
      </c>
      <c r="G646" s="6">
        <v>4.0250000000000004</v>
      </c>
      <c r="H646" s="6">
        <v>1221.693</v>
      </c>
      <c r="I646" s="6">
        <v>1393.1</v>
      </c>
      <c r="J646" s="6">
        <v>0.67</v>
      </c>
      <c r="K646" s="6">
        <v>170.73699999999999</v>
      </c>
      <c r="L646" s="6">
        <v>0</v>
      </c>
      <c r="M646" s="6">
        <v>17.788</v>
      </c>
      <c r="N646">
        <v>120.105</v>
      </c>
    </row>
    <row r="647" spans="1:14">
      <c r="A647">
        <v>8911</v>
      </c>
      <c r="B647" t="s">
        <v>498</v>
      </c>
      <c r="C647" s="7">
        <v>42338</v>
      </c>
      <c r="D647" s="5">
        <v>20</v>
      </c>
      <c r="E647" s="12">
        <v>12.423999999999999</v>
      </c>
      <c r="F647" s="6">
        <v>1.0429999999999999</v>
      </c>
      <c r="G647" s="6">
        <v>0.94699999999999995</v>
      </c>
      <c r="H647" s="6">
        <v>1627.2139999999999</v>
      </c>
      <c r="I647" s="6">
        <v>1819.43</v>
      </c>
      <c r="J647" s="6">
        <v>0</v>
      </c>
      <c r="K647" s="6">
        <v>192.21600000000001</v>
      </c>
      <c r="L647" s="6">
        <v>0</v>
      </c>
      <c r="M647" s="6">
        <v>12.327999999999999</v>
      </c>
      <c r="N647">
        <v>72.049000000000007</v>
      </c>
    </row>
    <row r="648" spans="1:14">
      <c r="A648">
        <v>8910</v>
      </c>
      <c r="B648" t="s">
        <v>499</v>
      </c>
      <c r="C648" s="7">
        <v>42338</v>
      </c>
      <c r="D648" s="5">
        <v>30</v>
      </c>
      <c r="E648" s="12">
        <v>16.96</v>
      </c>
      <c r="F648" s="6">
        <v>1.423</v>
      </c>
      <c r="G648" s="6">
        <v>1.6739999999999999</v>
      </c>
      <c r="H648" s="6">
        <v>2875.0239999999999</v>
      </c>
      <c r="I648" s="6">
        <v>3133.33</v>
      </c>
      <c r="J648" s="6">
        <v>0</v>
      </c>
      <c r="K648" s="6">
        <v>258.30599999999998</v>
      </c>
      <c r="L648" s="6">
        <v>0</v>
      </c>
      <c r="M648" s="6">
        <v>17.210999999999999</v>
      </c>
      <c r="N648">
        <v>127.297</v>
      </c>
    </row>
    <row r="649" spans="1:14">
      <c r="A649">
        <v>8909</v>
      </c>
      <c r="B649" t="s">
        <v>500</v>
      </c>
      <c r="C649" s="7">
        <v>42338</v>
      </c>
      <c r="D649" s="5">
        <v>0</v>
      </c>
      <c r="E649" s="12">
        <v>2.2949999999999999</v>
      </c>
      <c r="F649" s="6">
        <v>0.84299999999999997</v>
      </c>
      <c r="G649" s="6">
        <v>0.98299999999999998</v>
      </c>
      <c r="H649" s="6">
        <v>1690.0840000000001</v>
      </c>
      <c r="I649" s="6">
        <v>1885.63</v>
      </c>
      <c r="J649" s="6">
        <v>0</v>
      </c>
      <c r="K649" s="6">
        <v>195.54599999999999</v>
      </c>
      <c r="L649" s="6">
        <v>0</v>
      </c>
      <c r="M649" s="6">
        <v>2.4350000000000001</v>
      </c>
      <c r="N649">
        <v>6.8419999999999996</v>
      </c>
    </row>
    <row r="650" spans="1:14">
      <c r="A650">
        <v>8908</v>
      </c>
      <c r="B650" t="s">
        <v>501</v>
      </c>
      <c r="C650" s="7">
        <v>42338</v>
      </c>
      <c r="D650" s="5">
        <v>30</v>
      </c>
      <c r="E650" s="12">
        <v>25.452000000000002</v>
      </c>
      <c r="F650" s="6">
        <v>0.66100000000000003</v>
      </c>
      <c r="G650" s="6">
        <v>0.86799999999999999</v>
      </c>
      <c r="H650" s="6">
        <v>1489.9829999999999</v>
      </c>
      <c r="I650" s="6">
        <v>1674.93</v>
      </c>
      <c r="J650" s="6">
        <v>0</v>
      </c>
      <c r="K650" s="6">
        <v>184.947</v>
      </c>
      <c r="L650" s="6">
        <v>0</v>
      </c>
      <c r="M650" s="6">
        <v>25.658999999999999</v>
      </c>
      <c r="N650">
        <v>6.0330000000000004</v>
      </c>
    </row>
    <row r="651" spans="1:14">
      <c r="A651">
        <v>8936</v>
      </c>
      <c r="B651" t="s">
        <v>502</v>
      </c>
      <c r="C651" s="7">
        <v>42338</v>
      </c>
      <c r="D651" s="5">
        <v>0</v>
      </c>
      <c r="E651" s="12">
        <v>14.145</v>
      </c>
      <c r="F651" s="6">
        <v>8.9999999999999993E-3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14.135999999999999</v>
      </c>
      <c r="N651">
        <v>0</v>
      </c>
    </row>
    <row r="652" spans="1:14">
      <c r="A652">
        <v>9349</v>
      </c>
      <c r="B652" t="s">
        <v>503</v>
      </c>
      <c r="C652" s="7">
        <v>42338</v>
      </c>
      <c r="D652" s="5">
        <v>30</v>
      </c>
      <c r="E652" s="12">
        <v>19.966000000000001</v>
      </c>
      <c r="F652" s="6">
        <v>0.76500000000000001</v>
      </c>
      <c r="G652" s="6">
        <v>5.3049999999999997</v>
      </c>
      <c r="H652" s="6">
        <v>1610.31</v>
      </c>
      <c r="I652" s="6">
        <v>1812.4</v>
      </c>
      <c r="J652" s="6">
        <v>10.77</v>
      </c>
      <c r="K652" s="6">
        <v>191.32</v>
      </c>
      <c r="L652" s="6">
        <v>9.8800000000000008</v>
      </c>
      <c r="M652" s="6">
        <v>24.506</v>
      </c>
      <c r="N652">
        <v>158.31200000000001</v>
      </c>
    </row>
    <row r="653" spans="1:14">
      <c r="A653">
        <v>9348</v>
      </c>
      <c r="B653" t="s">
        <v>504</v>
      </c>
      <c r="C653" s="7">
        <v>42338</v>
      </c>
      <c r="D653" s="5">
        <v>30</v>
      </c>
      <c r="E653" s="12">
        <v>20.289000000000001</v>
      </c>
      <c r="F653" s="6">
        <v>1.4179999999999999</v>
      </c>
      <c r="G653" s="6">
        <v>1.677</v>
      </c>
      <c r="H653" s="6">
        <v>2881.2919999999999</v>
      </c>
      <c r="I653" s="6">
        <v>3139.93</v>
      </c>
      <c r="J653" s="6">
        <v>0</v>
      </c>
      <c r="K653" s="6">
        <v>258.63799999999998</v>
      </c>
      <c r="L653" s="6">
        <v>0</v>
      </c>
      <c r="M653" s="6">
        <v>20.547999999999998</v>
      </c>
      <c r="N653">
        <v>11.664999999999999</v>
      </c>
    </row>
    <row r="654" spans="1:14">
      <c r="A654">
        <v>9379</v>
      </c>
      <c r="B654" t="s">
        <v>505</v>
      </c>
      <c r="C654" s="7">
        <v>42338</v>
      </c>
      <c r="D654" s="5">
        <v>0</v>
      </c>
      <c r="E654" s="12">
        <v>3.8130000000000002</v>
      </c>
      <c r="F654" s="6">
        <v>1E-3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3.8119999999999998</v>
      </c>
      <c r="N654">
        <v>0</v>
      </c>
    </row>
    <row r="655" spans="1:14">
      <c r="A655">
        <v>8935</v>
      </c>
      <c r="B655" t="s">
        <v>506</v>
      </c>
      <c r="C655" s="7">
        <v>42338</v>
      </c>
      <c r="D655" s="5">
        <v>30</v>
      </c>
      <c r="E655" s="12">
        <v>34.598999999999997</v>
      </c>
      <c r="F655" s="6">
        <v>0.94399999999999995</v>
      </c>
      <c r="G655" s="6">
        <v>1.2709999999999999</v>
      </c>
      <c r="H655" s="6">
        <v>1940.33</v>
      </c>
      <c r="I655" s="6">
        <v>2149.16</v>
      </c>
      <c r="J655" s="6">
        <v>0.03</v>
      </c>
      <c r="K655" s="6">
        <v>208.8</v>
      </c>
      <c r="L655" s="6">
        <v>0</v>
      </c>
      <c r="M655" s="6">
        <v>34.926000000000002</v>
      </c>
      <c r="N655">
        <v>611.39800000000002</v>
      </c>
    </row>
    <row r="656" spans="1:14">
      <c r="A656">
        <v>9347</v>
      </c>
      <c r="B656" t="s">
        <v>507</v>
      </c>
      <c r="C656" s="7">
        <v>42338</v>
      </c>
      <c r="D656" s="5">
        <v>14</v>
      </c>
      <c r="E656" s="12">
        <v>20.286999999999999</v>
      </c>
      <c r="F656" s="6">
        <v>1.389</v>
      </c>
      <c r="G656" s="6">
        <v>2.1269999999999998</v>
      </c>
      <c r="H656" s="6">
        <v>3245.4059999999999</v>
      </c>
      <c r="I656" s="6">
        <v>3523.38</v>
      </c>
      <c r="J656" s="6">
        <v>0.05</v>
      </c>
      <c r="K656" s="6">
        <v>277.92399999999998</v>
      </c>
      <c r="L656" s="6">
        <v>0</v>
      </c>
      <c r="M656" s="6">
        <v>21.024999999999999</v>
      </c>
      <c r="N656">
        <v>1022.63</v>
      </c>
    </row>
    <row r="657" spans="1:14">
      <c r="A657">
        <v>9346</v>
      </c>
      <c r="B657" t="s">
        <v>508</v>
      </c>
      <c r="C657" s="7">
        <v>42338</v>
      </c>
      <c r="D657" s="5">
        <v>0</v>
      </c>
      <c r="E657" s="12">
        <v>0.20200000000000001</v>
      </c>
      <c r="F657" s="6">
        <v>0</v>
      </c>
      <c r="G657" s="6">
        <v>0</v>
      </c>
      <c r="H657" s="6">
        <v>0</v>
      </c>
      <c r="I657" s="6">
        <v>0</v>
      </c>
      <c r="J657" s="6">
        <v>0</v>
      </c>
      <c r="K657" s="6">
        <v>0</v>
      </c>
      <c r="L657" s="6">
        <v>0</v>
      </c>
      <c r="M657" s="6">
        <v>0.20200000000000001</v>
      </c>
      <c r="N657">
        <v>0</v>
      </c>
    </row>
    <row r="658" spans="1:14">
      <c r="A658">
        <v>9378</v>
      </c>
      <c r="B658" t="s">
        <v>509</v>
      </c>
      <c r="C658" s="7">
        <v>42338</v>
      </c>
      <c r="D658" s="5">
        <v>30</v>
      </c>
      <c r="E658" s="12">
        <v>75.662999999999997</v>
      </c>
      <c r="F658" s="6">
        <v>1.1930000000000001</v>
      </c>
      <c r="G658" s="6">
        <v>1.6919999999999999</v>
      </c>
      <c r="H658" s="6">
        <v>2368.1689999999999</v>
      </c>
      <c r="I658" s="6">
        <v>2599.69</v>
      </c>
      <c r="J658" s="6">
        <v>0.06</v>
      </c>
      <c r="K658" s="6">
        <v>231.46100000000001</v>
      </c>
      <c r="L658" s="6">
        <v>0</v>
      </c>
      <c r="M658" s="6">
        <v>76.162000000000006</v>
      </c>
      <c r="N658">
        <v>61.79</v>
      </c>
    </row>
    <row r="659" spans="1:14">
      <c r="A659">
        <v>8906</v>
      </c>
      <c r="B659" t="s">
        <v>510</v>
      </c>
      <c r="C659" s="7">
        <v>42338</v>
      </c>
      <c r="D659" s="5">
        <v>30</v>
      </c>
      <c r="E659" s="12">
        <v>82.584999999999994</v>
      </c>
      <c r="F659" s="6">
        <v>1.9179999999999999</v>
      </c>
      <c r="G659" s="6">
        <v>2.3149999999999999</v>
      </c>
      <c r="H659" s="6">
        <v>3977.7190000000001</v>
      </c>
      <c r="I659" s="6">
        <v>4272.7700000000004</v>
      </c>
      <c r="J659" s="6">
        <v>0</v>
      </c>
      <c r="K659" s="6">
        <v>295.05099999999999</v>
      </c>
      <c r="L659" s="6">
        <v>0</v>
      </c>
      <c r="M659" s="6">
        <v>82.981999999999999</v>
      </c>
      <c r="N659">
        <v>16.103999999999999</v>
      </c>
    </row>
    <row r="660" spans="1:14">
      <c r="A660">
        <v>9415</v>
      </c>
      <c r="B660" t="s">
        <v>511</v>
      </c>
      <c r="C660" s="7">
        <v>42338</v>
      </c>
      <c r="D660" s="5">
        <v>30</v>
      </c>
      <c r="E660" s="12">
        <v>7.5190000000000001</v>
      </c>
      <c r="F660" s="6">
        <v>0.873</v>
      </c>
      <c r="G660" s="6">
        <v>3.036</v>
      </c>
      <c r="H660" s="6">
        <v>1710.028</v>
      </c>
      <c r="I660" s="6">
        <v>1885.38</v>
      </c>
      <c r="J660" s="6">
        <v>0.41</v>
      </c>
      <c r="K660" s="6">
        <v>174.94200000000001</v>
      </c>
      <c r="L660" s="6">
        <v>0</v>
      </c>
      <c r="M660" s="6">
        <v>9.6820000000000004</v>
      </c>
      <c r="N660">
        <v>42.689</v>
      </c>
    </row>
    <row r="661" spans="1:14">
      <c r="A661">
        <v>9410</v>
      </c>
      <c r="B661" t="s">
        <v>512</v>
      </c>
      <c r="C661" s="7">
        <v>42338</v>
      </c>
      <c r="D661" s="5">
        <v>30</v>
      </c>
      <c r="E661" s="12">
        <v>11.827999999999999</v>
      </c>
      <c r="F661" s="6">
        <v>1.5029999999999999</v>
      </c>
      <c r="G661" s="6">
        <v>5.5190000000000001</v>
      </c>
      <c r="H661" s="6">
        <v>3107.8890000000001</v>
      </c>
      <c r="I661" s="6">
        <v>3357.62</v>
      </c>
      <c r="J661" s="6">
        <v>0.75</v>
      </c>
      <c r="K661" s="6">
        <v>248.98099999999999</v>
      </c>
      <c r="L661" s="6">
        <v>0</v>
      </c>
      <c r="M661" s="6">
        <v>15.843999999999999</v>
      </c>
      <c r="N661">
        <v>77.585999999999999</v>
      </c>
    </row>
    <row r="662" spans="1:14">
      <c r="A662">
        <v>9411</v>
      </c>
      <c r="B662" t="s">
        <v>513</v>
      </c>
      <c r="C662" s="7">
        <v>42338</v>
      </c>
      <c r="D662" s="5">
        <v>30</v>
      </c>
      <c r="E662" s="12">
        <v>30.201000000000001</v>
      </c>
      <c r="F662" s="6">
        <v>0.80700000000000005</v>
      </c>
      <c r="G662" s="6">
        <v>3.4670000000000001</v>
      </c>
      <c r="H662" s="6">
        <v>1628.5440000000001</v>
      </c>
      <c r="I662" s="6">
        <v>1799.68</v>
      </c>
      <c r="J662" s="6">
        <v>0.51</v>
      </c>
      <c r="K662" s="6">
        <v>170.626</v>
      </c>
      <c r="L662" s="6">
        <v>0</v>
      </c>
      <c r="M662" s="6">
        <v>32.860999999999997</v>
      </c>
      <c r="N662">
        <v>45.649000000000001</v>
      </c>
    </row>
    <row r="663" spans="1:14">
      <c r="A663">
        <v>8904</v>
      </c>
      <c r="B663" t="s">
        <v>514</v>
      </c>
      <c r="C663" s="7">
        <v>42338</v>
      </c>
      <c r="D663" s="5">
        <v>0</v>
      </c>
      <c r="E663" s="12">
        <v>5.0549999999999997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6">
        <v>5.0549999999999997</v>
      </c>
      <c r="N663">
        <v>0</v>
      </c>
    </row>
    <row r="664" spans="1:14">
      <c r="A664">
        <v>9412</v>
      </c>
      <c r="B664" t="s">
        <v>515</v>
      </c>
      <c r="C664" s="7">
        <v>42338</v>
      </c>
      <c r="D664" s="5">
        <v>30</v>
      </c>
      <c r="E664" s="12">
        <v>62.01</v>
      </c>
      <c r="F664" s="6">
        <v>0.59099999999999997</v>
      </c>
      <c r="G664" s="6">
        <v>0.68500000000000005</v>
      </c>
      <c r="H664" s="6">
        <v>1176.107</v>
      </c>
      <c r="I664" s="6">
        <v>1450.27</v>
      </c>
      <c r="J664" s="6">
        <v>0</v>
      </c>
      <c r="K664" s="6">
        <v>274.16300000000001</v>
      </c>
      <c r="L664" s="6">
        <v>0</v>
      </c>
      <c r="M664" s="6">
        <v>62.103999999999999</v>
      </c>
      <c r="N664">
        <v>4.7610000000000001</v>
      </c>
    </row>
    <row r="665" spans="1:14">
      <c r="A665">
        <v>9413</v>
      </c>
      <c r="B665" t="s">
        <v>516</v>
      </c>
      <c r="C665" s="7">
        <v>42338</v>
      </c>
      <c r="D665" s="5">
        <v>0</v>
      </c>
      <c r="E665" s="12">
        <v>54.735999999999997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54.735999999999997</v>
      </c>
      <c r="N665">
        <v>0</v>
      </c>
    </row>
    <row r="666" spans="1:14">
      <c r="A666">
        <v>9414</v>
      </c>
      <c r="B666" t="s">
        <v>517</v>
      </c>
      <c r="C666" s="7">
        <v>42338</v>
      </c>
      <c r="D666" s="5">
        <v>30</v>
      </c>
      <c r="E666" s="12">
        <v>17.215</v>
      </c>
      <c r="F666" s="6">
        <v>0.81200000000000006</v>
      </c>
      <c r="G666" s="6">
        <v>0.97699999999999998</v>
      </c>
      <c r="H666" s="6">
        <v>1678.973</v>
      </c>
      <c r="I666" s="6">
        <v>1873.93</v>
      </c>
      <c r="J666" s="6">
        <v>0</v>
      </c>
      <c r="K666" s="6">
        <v>194.95699999999999</v>
      </c>
      <c r="L666" s="6">
        <v>0</v>
      </c>
      <c r="M666" s="6">
        <v>17.38</v>
      </c>
      <c r="N666">
        <v>6.798</v>
      </c>
    </row>
    <row r="667" spans="1:14">
      <c r="A667">
        <v>19074</v>
      </c>
      <c r="B667" t="s">
        <v>518</v>
      </c>
      <c r="C667" s="7">
        <v>42338</v>
      </c>
      <c r="D667" s="5">
        <v>30</v>
      </c>
      <c r="E667" s="12">
        <v>64.83</v>
      </c>
      <c r="F667" s="6">
        <v>0.95699999999999996</v>
      </c>
      <c r="G667" s="6">
        <v>2.8340000000000001</v>
      </c>
      <c r="H667" s="6">
        <v>1914.1179999999999</v>
      </c>
      <c r="I667" s="6">
        <v>2106</v>
      </c>
      <c r="J667" s="6">
        <v>0.35</v>
      </c>
      <c r="K667" s="6">
        <v>191.53200000000001</v>
      </c>
      <c r="L667" s="6">
        <v>0</v>
      </c>
      <c r="M667" s="6">
        <v>66.706999999999994</v>
      </c>
      <c r="N667">
        <v>535.44500000000005</v>
      </c>
    </row>
    <row r="668" spans="1:14">
      <c r="A668">
        <v>8902</v>
      </c>
      <c r="B668" t="s">
        <v>519</v>
      </c>
      <c r="C668" s="7">
        <v>42338</v>
      </c>
      <c r="D668" s="5">
        <v>0</v>
      </c>
      <c r="E668" s="12">
        <v>3.2959999999999998</v>
      </c>
      <c r="F668" s="6">
        <v>0.03</v>
      </c>
      <c r="G668" s="6">
        <v>0</v>
      </c>
      <c r="H668" s="6">
        <v>0</v>
      </c>
      <c r="I668" s="6">
        <v>0</v>
      </c>
      <c r="J668" s="6">
        <v>0</v>
      </c>
      <c r="K668" s="6">
        <v>0</v>
      </c>
      <c r="L668" s="6">
        <v>0</v>
      </c>
      <c r="M668" s="6">
        <v>3.266</v>
      </c>
      <c r="N668">
        <v>0</v>
      </c>
    </row>
    <row r="669" spans="1:14">
      <c r="A669">
        <v>9407</v>
      </c>
      <c r="B669" t="s">
        <v>520</v>
      </c>
      <c r="C669" s="7">
        <v>42338</v>
      </c>
      <c r="D669" s="5">
        <v>0</v>
      </c>
      <c r="E669" s="12">
        <v>1.3220000000000001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1.3220000000000001</v>
      </c>
      <c r="N669">
        <v>0</v>
      </c>
    </row>
    <row r="670" spans="1:14">
      <c r="A670">
        <v>9408</v>
      </c>
      <c r="B670" t="s">
        <v>521</v>
      </c>
      <c r="C670" s="7">
        <v>42338</v>
      </c>
      <c r="D670" s="5">
        <v>2</v>
      </c>
      <c r="E670" s="12">
        <v>6.165</v>
      </c>
      <c r="F670" s="6">
        <v>0.65</v>
      </c>
      <c r="G670" s="6">
        <v>8.0000000000000002E-3</v>
      </c>
      <c r="H670" s="6">
        <v>12.726000000000001</v>
      </c>
      <c r="I670" s="6">
        <v>119.43</v>
      </c>
      <c r="J670" s="6">
        <v>0</v>
      </c>
      <c r="K670" s="6">
        <v>106.70399999999999</v>
      </c>
      <c r="L670" s="6">
        <v>0</v>
      </c>
      <c r="M670" s="6">
        <v>5.5229999999999997</v>
      </c>
      <c r="N670">
        <v>5.1999999999999998E-2</v>
      </c>
    </row>
    <row r="671" spans="1:14">
      <c r="A671">
        <v>9409</v>
      </c>
      <c r="B671" t="s">
        <v>522</v>
      </c>
      <c r="C671" s="7">
        <v>42338</v>
      </c>
      <c r="D671" s="5">
        <v>30</v>
      </c>
      <c r="E671" s="12">
        <v>27.295000000000002</v>
      </c>
      <c r="F671" s="6">
        <v>0.64700000000000002</v>
      </c>
      <c r="G671" s="6">
        <v>2.831</v>
      </c>
      <c r="H671" s="6">
        <v>1329.4839999999999</v>
      </c>
      <c r="I671" s="6">
        <v>1506.35</v>
      </c>
      <c r="J671" s="6">
        <v>0.42</v>
      </c>
      <c r="K671" s="6">
        <v>176.446</v>
      </c>
      <c r="L671" s="6">
        <v>0</v>
      </c>
      <c r="M671" s="6">
        <v>29.478999999999999</v>
      </c>
      <c r="N671">
        <v>37.268000000000001</v>
      </c>
    </row>
    <row r="672" spans="1:14">
      <c r="A672">
        <v>8903</v>
      </c>
      <c r="B672" t="s">
        <v>523</v>
      </c>
      <c r="C672" s="7">
        <v>42338</v>
      </c>
      <c r="D672" s="5">
        <v>30</v>
      </c>
      <c r="E672" s="12">
        <v>23.352</v>
      </c>
      <c r="F672" s="6">
        <v>0.85699999999999998</v>
      </c>
      <c r="G672" s="6">
        <v>1.367</v>
      </c>
      <c r="H672" s="6">
        <v>1801.9590000000001</v>
      </c>
      <c r="I672" s="6">
        <v>1981.83</v>
      </c>
      <c r="J672" s="6">
        <v>0.06</v>
      </c>
      <c r="K672" s="6">
        <v>179.81100000000001</v>
      </c>
      <c r="L672" s="6">
        <v>0</v>
      </c>
      <c r="M672" s="6">
        <v>23.861999999999998</v>
      </c>
      <c r="N672">
        <v>139.59700000000001</v>
      </c>
    </row>
    <row r="673" spans="1:14">
      <c r="A673">
        <v>9404</v>
      </c>
      <c r="B673" t="s">
        <v>524</v>
      </c>
      <c r="C673" s="7">
        <v>42338</v>
      </c>
      <c r="D673" s="5">
        <v>30</v>
      </c>
      <c r="E673" s="12">
        <v>7.3780000000000001</v>
      </c>
      <c r="F673" s="6">
        <v>0.54200000000000004</v>
      </c>
      <c r="G673" s="6">
        <v>3.8380000000000001</v>
      </c>
      <c r="H673" s="6">
        <v>2161.7049999999999</v>
      </c>
      <c r="I673" s="6">
        <v>2361.09</v>
      </c>
      <c r="J673" s="6">
        <v>0.52</v>
      </c>
      <c r="K673" s="6">
        <v>198.86500000000001</v>
      </c>
      <c r="L673" s="6">
        <v>0</v>
      </c>
      <c r="M673" s="6">
        <v>10.673999999999999</v>
      </c>
      <c r="N673">
        <v>53.963999999999999</v>
      </c>
    </row>
    <row r="674" spans="1:14">
      <c r="A674">
        <v>9405</v>
      </c>
      <c r="B674" t="s">
        <v>525</v>
      </c>
      <c r="C674" s="7">
        <v>42338</v>
      </c>
      <c r="D674" s="5">
        <v>30</v>
      </c>
      <c r="E674" s="12">
        <v>26.132000000000001</v>
      </c>
      <c r="F674" s="6">
        <v>0.629</v>
      </c>
      <c r="G674" s="6">
        <v>2.8769999999999998</v>
      </c>
      <c r="H674" s="6">
        <v>1351.0419999999999</v>
      </c>
      <c r="I674" s="6">
        <v>1529.05</v>
      </c>
      <c r="J674" s="6">
        <v>0.42</v>
      </c>
      <c r="K674" s="6">
        <v>177.58799999999999</v>
      </c>
      <c r="L674" s="6">
        <v>0</v>
      </c>
      <c r="M674" s="6">
        <v>28.38</v>
      </c>
      <c r="N674">
        <v>37.869999999999997</v>
      </c>
    </row>
    <row r="675" spans="1:14">
      <c r="A675">
        <v>9406</v>
      </c>
      <c r="B675" t="s">
        <v>526</v>
      </c>
      <c r="C675" s="7">
        <v>42338</v>
      </c>
      <c r="D675" s="5">
        <v>30</v>
      </c>
      <c r="E675" s="12">
        <v>20.689</v>
      </c>
      <c r="F675" s="6">
        <v>0.45500000000000002</v>
      </c>
      <c r="G675" s="6">
        <v>0.53800000000000003</v>
      </c>
      <c r="H675" s="6">
        <v>923.01199999999994</v>
      </c>
      <c r="I675" s="6">
        <v>1056.27</v>
      </c>
      <c r="J675" s="6">
        <v>0</v>
      </c>
      <c r="K675" s="6">
        <v>133.25800000000001</v>
      </c>
      <c r="L675" s="6">
        <v>0</v>
      </c>
      <c r="M675" s="6">
        <v>20.771999999999998</v>
      </c>
      <c r="N675">
        <v>3.7360000000000002</v>
      </c>
    </row>
    <row r="676" spans="1:14">
      <c r="A676">
        <v>8818</v>
      </c>
      <c r="B676" t="s">
        <v>527</v>
      </c>
      <c r="C676" s="7">
        <v>42338</v>
      </c>
      <c r="D676" s="5">
        <v>24</v>
      </c>
      <c r="E676" s="12">
        <v>44.125</v>
      </c>
      <c r="F676" s="6">
        <v>0.17599999999999999</v>
      </c>
      <c r="G676" s="6">
        <v>2.3E-2</v>
      </c>
      <c r="H676" s="6">
        <v>38.938000000000002</v>
      </c>
      <c r="I676" s="6">
        <v>191.06</v>
      </c>
      <c r="J676" s="6">
        <v>8.83</v>
      </c>
      <c r="K676" s="6">
        <v>143.292</v>
      </c>
      <c r="L676" s="6">
        <v>8.83</v>
      </c>
      <c r="M676" s="6">
        <v>43.972000000000001</v>
      </c>
      <c r="N676">
        <v>0.158</v>
      </c>
    </row>
    <row r="677" spans="1:14">
      <c r="A677">
        <v>8817</v>
      </c>
      <c r="B677" t="s">
        <v>826</v>
      </c>
      <c r="C677" s="7">
        <v>42338</v>
      </c>
      <c r="D677" s="5">
        <v>30</v>
      </c>
      <c r="E677" s="12">
        <v>19.983000000000001</v>
      </c>
      <c r="F677" s="6">
        <v>1.075</v>
      </c>
      <c r="G677" s="6">
        <v>4.3760000000000003</v>
      </c>
      <c r="H677" s="6">
        <v>2069.9609999999998</v>
      </c>
      <c r="I677" s="6">
        <v>2392.31</v>
      </c>
      <c r="J677" s="6">
        <v>0.64</v>
      </c>
      <c r="K677" s="6">
        <v>321.709</v>
      </c>
      <c r="L677" s="6">
        <v>0</v>
      </c>
      <c r="M677" s="6">
        <v>23.283999999999999</v>
      </c>
      <c r="N677">
        <v>90.69</v>
      </c>
    </row>
    <row r="678" spans="1:14">
      <c r="A678">
        <v>8566</v>
      </c>
      <c r="B678" t="s">
        <v>771</v>
      </c>
      <c r="C678" s="7">
        <v>42338</v>
      </c>
      <c r="D678" s="5">
        <v>30</v>
      </c>
      <c r="E678" s="12">
        <v>6.7839999999999998</v>
      </c>
      <c r="F678" s="6">
        <v>0.32</v>
      </c>
      <c r="G678" s="6">
        <v>2.21</v>
      </c>
      <c r="H678" s="6">
        <v>767.26199999999994</v>
      </c>
      <c r="I678" s="6">
        <v>949.49</v>
      </c>
      <c r="J678" s="6">
        <v>0.36</v>
      </c>
      <c r="K678" s="6">
        <v>181.86799999999999</v>
      </c>
      <c r="L678" s="6">
        <v>0</v>
      </c>
      <c r="M678" s="6">
        <v>8.6739999999999995</v>
      </c>
      <c r="N678">
        <v>79.123999999999995</v>
      </c>
    </row>
    <row r="679" spans="1:14">
      <c r="A679">
        <v>9649</v>
      </c>
      <c r="B679" t="s">
        <v>736</v>
      </c>
      <c r="C679" s="7">
        <v>42338</v>
      </c>
      <c r="D679" s="5">
        <v>30</v>
      </c>
      <c r="E679" s="12">
        <v>18.111000000000001</v>
      </c>
      <c r="F679" s="6">
        <v>0.66500000000000004</v>
      </c>
      <c r="G679" s="6">
        <v>2.8570000000000002</v>
      </c>
      <c r="H679" s="6">
        <v>1351.8009999999999</v>
      </c>
      <c r="I679" s="6">
        <v>1635.89</v>
      </c>
      <c r="J679" s="6">
        <v>0.42</v>
      </c>
      <c r="K679" s="6">
        <v>283.66899999999998</v>
      </c>
      <c r="L679" s="6">
        <v>0</v>
      </c>
      <c r="M679" s="6">
        <v>20.303000000000001</v>
      </c>
      <c r="N679">
        <v>59.223999999999997</v>
      </c>
    </row>
    <row r="680" spans="1:14">
      <c r="A680">
        <v>9646</v>
      </c>
      <c r="B680" t="s">
        <v>737</v>
      </c>
      <c r="C680" s="7">
        <v>42338</v>
      </c>
      <c r="D680" s="5">
        <v>30</v>
      </c>
      <c r="E680" s="12">
        <v>17.838999999999999</v>
      </c>
      <c r="F680" s="6">
        <v>1.3680000000000001</v>
      </c>
      <c r="G680" s="6">
        <v>3.9359999999999999</v>
      </c>
      <c r="H680" s="6">
        <v>2916.8110000000001</v>
      </c>
      <c r="I680" s="6">
        <v>3283.82</v>
      </c>
      <c r="J680" s="6">
        <v>0.45</v>
      </c>
      <c r="K680" s="6">
        <v>366.55900000000003</v>
      </c>
      <c r="L680" s="6">
        <v>0</v>
      </c>
      <c r="M680" s="6">
        <v>20.407</v>
      </c>
      <c r="N680">
        <v>245.06899999999999</v>
      </c>
    </row>
    <row r="681" spans="1:14">
      <c r="A681">
        <v>9650</v>
      </c>
      <c r="B681" t="s">
        <v>738</v>
      </c>
      <c r="C681" s="7">
        <v>42338</v>
      </c>
      <c r="D681" s="5">
        <v>30</v>
      </c>
      <c r="E681" s="12">
        <v>28.765999999999998</v>
      </c>
      <c r="F681" s="6">
        <v>1.407</v>
      </c>
      <c r="G681" s="6">
        <v>8.1560000000000006</v>
      </c>
      <c r="H681" s="6">
        <v>2830.768</v>
      </c>
      <c r="I681" s="6">
        <v>3204.49</v>
      </c>
      <c r="J681" s="6">
        <v>1.32</v>
      </c>
      <c r="K681" s="6">
        <v>372.40199999999999</v>
      </c>
      <c r="L681" s="6">
        <v>0</v>
      </c>
      <c r="M681" s="6">
        <v>35.515000000000001</v>
      </c>
      <c r="N681">
        <v>291.923</v>
      </c>
    </row>
    <row r="682" spans="1:14">
      <c r="A682">
        <v>9110</v>
      </c>
      <c r="B682" t="s">
        <v>528</v>
      </c>
      <c r="C682" s="7">
        <v>42338</v>
      </c>
      <c r="D682" s="5">
        <v>30</v>
      </c>
      <c r="E682" s="12">
        <v>42.387</v>
      </c>
      <c r="F682" s="6">
        <v>0.78900000000000003</v>
      </c>
      <c r="G682" s="6">
        <v>0.93899999999999995</v>
      </c>
      <c r="H682" s="6">
        <v>1612.9690000000001</v>
      </c>
      <c r="I682" s="6">
        <v>1920.09</v>
      </c>
      <c r="J682" s="6">
        <v>0</v>
      </c>
      <c r="K682" s="6">
        <v>307.12099999999998</v>
      </c>
      <c r="L682" s="6">
        <v>0</v>
      </c>
      <c r="M682" s="6">
        <v>42.536999999999999</v>
      </c>
      <c r="N682">
        <v>6.5289999999999999</v>
      </c>
    </row>
    <row r="683" spans="1:14">
      <c r="A683">
        <v>9118</v>
      </c>
      <c r="B683" t="s">
        <v>529</v>
      </c>
      <c r="C683" s="7">
        <v>42338</v>
      </c>
      <c r="D683" s="5">
        <v>30</v>
      </c>
      <c r="E683" s="12">
        <v>23.835999999999999</v>
      </c>
      <c r="F683" s="6">
        <v>0.83</v>
      </c>
      <c r="G683" s="6">
        <v>1.0409999999999999</v>
      </c>
      <c r="H683" s="6">
        <v>1787.4280000000001</v>
      </c>
      <c r="I683" s="6">
        <v>2110.14</v>
      </c>
      <c r="J683" s="6">
        <v>0</v>
      </c>
      <c r="K683" s="6">
        <v>322.71199999999999</v>
      </c>
      <c r="L683" s="6">
        <v>0</v>
      </c>
      <c r="M683" s="6">
        <v>24.047000000000001</v>
      </c>
      <c r="N683">
        <v>7.2370000000000001</v>
      </c>
    </row>
    <row r="684" spans="1:14">
      <c r="A684">
        <v>9502</v>
      </c>
      <c r="B684" t="s">
        <v>530</v>
      </c>
      <c r="C684" s="7">
        <v>42338</v>
      </c>
      <c r="D684" s="5">
        <v>30</v>
      </c>
      <c r="E684" s="12">
        <v>44.603999999999999</v>
      </c>
      <c r="F684" s="6">
        <v>0.89900000000000002</v>
      </c>
      <c r="G684" s="6">
        <v>1.1819999999999999</v>
      </c>
      <c r="H684" s="6">
        <v>2032.1659999999999</v>
      </c>
      <c r="I684" s="6">
        <v>2280.83</v>
      </c>
      <c r="J684" s="6">
        <v>0</v>
      </c>
      <c r="K684" s="6">
        <v>248.66399999999999</v>
      </c>
      <c r="L684" s="6">
        <v>0</v>
      </c>
      <c r="M684" s="6">
        <v>44.887</v>
      </c>
      <c r="N684">
        <v>8.2270000000000003</v>
      </c>
    </row>
    <row r="685" spans="1:14">
      <c r="A685">
        <v>9606</v>
      </c>
      <c r="B685" t="s">
        <v>739</v>
      </c>
      <c r="C685" s="7">
        <v>42338</v>
      </c>
      <c r="D685" s="5">
        <v>30</v>
      </c>
      <c r="E685" s="12">
        <v>54.996000000000002</v>
      </c>
      <c r="F685" s="6">
        <v>1.4710000000000001</v>
      </c>
      <c r="G685" s="6">
        <v>1.84</v>
      </c>
      <c r="H685" s="6">
        <v>3162.3069999999998</v>
      </c>
      <c r="I685" s="6">
        <v>3436.03</v>
      </c>
      <c r="J685" s="6">
        <v>0</v>
      </c>
      <c r="K685" s="6">
        <v>273.72300000000001</v>
      </c>
      <c r="L685" s="6">
        <v>0</v>
      </c>
      <c r="M685" s="6">
        <v>55.365000000000002</v>
      </c>
      <c r="N685">
        <v>12.803000000000001</v>
      </c>
    </row>
    <row r="686" spans="1:14">
      <c r="A686">
        <v>8957</v>
      </c>
      <c r="B686" t="s">
        <v>531</v>
      </c>
      <c r="C686" s="7">
        <v>42338</v>
      </c>
      <c r="D686" s="5">
        <v>30</v>
      </c>
      <c r="E686" s="12">
        <v>63.709000000000003</v>
      </c>
      <c r="F686" s="6">
        <v>0.748</v>
      </c>
      <c r="G686" s="6">
        <v>0.89100000000000001</v>
      </c>
      <c r="H686" s="6">
        <v>1531.9590000000001</v>
      </c>
      <c r="I686" s="6">
        <v>1719.13</v>
      </c>
      <c r="J686" s="6">
        <v>0</v>
      </c>
      <c r="K686" s="6">
        <v>187.17099999999999</v>
      </c>
      <c r="L686" s="6">
        <v>0</v>
      </c>
      <c r="M686" s="6">
        <v>63.851999999999997</v>
      </c>
      <c r="N686">
        <v>6.202</v>
      </c>
    </row>
    <row r="687" spans="1:14">
      <c r="A687">
        <v>9652</v>
      </c>
      <c r="B687" t="s">
        <v>730</v>
      </c>
      <c r="C687" s="7">
        <v>42338</v>
      </c>
      <c r="D687" s="5">
        <v>0</v>
      </c>
      <c r="E687" s="12">
        <v>13.314</v>
      </c>
      <c r="F687" s="6">
        <v>7.0000000000000001E-3</v>
      </c>
      <c r="G687" s="6">
        <v>0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6">
        <v>13.307</v>
      </c>
      <c r="N687">
        <v>0</v>
      </c>
    </row>
    <row r="688" spans="1:14">
      <c r="A688">
        <v>9709</v>
      </c>
      <c r="B688" t="s">
        <v>740</v>
      </c>
      <c r="C688" s="7">
        <v>42338</v>
      </c>
      <c r="D688" s="5">
        <v>30</v>
      </c>
      <c r="E688" s="12">
        <v>21.190999999999999</v>
      </c>
      <c r="F688" s="6">
        <v>1.2529999999999999</v>
      </c>
      <c r="G688" s="6">
        <v>5.5110000000000001</v>
      </c>
      <c r="H688" s="6">
        <v>2607.4929999999999</v>
      </c>
      <c r="I688" s="6">
        <v>2958.48</v>
      </c>
      <c r="J688" s="6">
        <v>0.81</v>
      </c>
      <c r="K688" s="6">
        <v>350.17700000000002</v>
      </c>
      <c r="L688" s="6">
        <v>0</v>
      </c>
      <c r="M688" s="6">
        <v>25.449000000000002</v>
      </c>
      <c r="N688">
        <v>114.238</v>
      </c>
    </row>
    <row r="689" spans="1:14">
      <c r="A689">
        <v>9655</v>
      </c>
      <c r="B689" t="s">
        <v>731</v>
      </c>
      <c r="C689" s="7">
        <v>42338</v>
      </c>
      <c r="D689" s="5">
        <v>30</v>
      </c>
      <c r="E689" s="12">
        <v>24.882999999999999</v>
      </c>
      <c r="F689" s="6">
        <v>1.274</v>
      </c>
      <c r="G689" s="6">
        <v>5.4160000000000004</v>
      </c>
      <c r="H689" s="6">
        <v>2562.9520000000002</v>
      </c>
      <c r="I689" s="6">
        <v>2911.57</v>
      </c>
      <c r="J689" s="6">
        <v>0.8</v>
      </c>
      <c r="K689" s="6">
        <v>347.81799999999998</v>
      </c>
      <c r="L689" s="6">
        <v>0</v>
      </c>
      <c r="M689" s="6">
        <v>29.024999999999999</v>
      </c>
      <c r="N689">
        <v>112.28700000000001</v>
      </c>
    </row>
    <row r="690" spans="1:14">
      <c r="A690">
        <v>9654</v>
      </c>
      <c r="B690" t="s">
        <v>732</v>
      </c>
      <c r="C690" s="7">
        <v>42338</v>
      </c>
      <c r="D690" s="5">
        <v>30</v>
      </c>
      <c r="E690" s="12">
        <v>18.120999999999999</v>
      </c>
      <c r="F690" s="6">
        <v>0.95599999999999996</v>
      </c>
      <c r="G690" s="6">
        <v>3.871</v>
      </c>
      <c r="H690" s="6">
        <v>1831.3989999999999</v>
      </c>
      <c r="I690" s="6">
        <v>2141.04</v>
      </c>
      <c r="J690" s="6">
        <v>0.56999999999999995</v>
      </c>
      <c r="K690" s="6">
        <v>309.07100000000003</v>
      </c>
      <c r="L690" s="6">
        <v>0</v>
      </c>
      <c r="M690" s="6">
        <v>21.036000000000001</v>
      </c>
      <c r="N690">
        <v>80.236000000000004</v>
      </c>
    </row>
    <row r="691" spans="1:14">
      <c r="A691">
        <v>8905</v>
      </c>
      <c r="B691" t="s">
        <v>532</v>
      </c>
      <c r="C691" s="7">
        <v>42338</v>
      </c>
      <c r="D691" s="5">
        <v>30</v>
      </c>
      <c r="E691" s="12">
        <v>85.234999999999999</v>
      </c>
      <c r="F691" s="6">
        <v>0.67300000000000004</v>
      </c>
      <c r="G691" s="6">
        <v>0.77300000000000002</v>
      </c>
      <c r="H691" s="6">
        <v>1327.299</v>
      </c>
      <c r="I691" s="6">
        <v>1609.47</v>
      </c>
      <c r="J691" s="6">
        <v>0</v>
      </c>
      <c r="K691" s="6">
        <v>282.17099999999999</v>
      </c>
      <c r="L691" s="6">
        <v>0</v>
      </c>
      <c r="M691" s="6">
        <v>85.334999999999994</v>
      </c>
      <c r="N691">
        <v>5.3730000000000002</v>
      </c>
    </row>
    <row r="692" spans="1:14">
      <c r="A692">
        <v>8907</v>
      </c>
      <c r="B692" t="s">
        <v>533</v>
      </c>
      <c r="C692" s="7">
        <v>42338</v>
      </c>
      <c r="D692" s="5">
        <v>30</v>
      </c>
      <c r="E692" s="12">
        <v>33.296999999999997</v>
      </c>
      <c r="F692" s="6">
        <v>0.77</v>
      </c>
      <c r="G692" s="6">
        <v>0.89600000000000002</v>
      </c>
      <c r="H692" s="6">
        <v>1539.2719999999999</v>
      </c>
      <c r="I692" s="6">
        <v>1832.67</v>
      </c>
      <c r="J692" s="6">
        <v>0</v>
      </c>
      <c r="K692" s="6">
        <v>293.39800000000002</v>
      </c>
      <c r="L692" s="6">
        <v>0</v>
      </c>
      <c r="M692" s="6">
        <v>33.423000000000002</v>
      </c>
      <c r="N692">
        <v>6.2329999999999997</v>
      </c>
    </row>
    <row r="693" spans="1:14">
      <c r="A693">
        <v>9116</v>
      </c>
      <c r="B693" t="s">
        <v>534</v>
      </c>
      <c r="C693" s="7">
        <v>42338</v>
      </c>
      <c r="D693" s="5">
        <v>25</v>
      </c>
      <c r="E693" s="12">
        <v>25.526</v>
      </c>
      <c r="F693" s="6">
        <v>2.0880000000000001</v>
      </c>
      <c r="G693" s="6">
        <v>2.4860000000000002</v>
      </c>
      <c r="H693" s="6">
        <v>3930.424</v>
      </c>
      <c r="I693" s="6">
        <v>4350.71</v>
      </c>
      <c r="J693" s="6">
        <v>0.04</v>
      </c>
      <c r="K693" s="6">
        <v>420.24599999999998</v>
      </c>
      <c r="L693" s="6">
        <v>0</v>
      </c>
      <c r="M693" s="6">
        <v>25.923999999999999</v>
      </c>
      <c r="N693">
        <v>123.11</v>
      </c>
    </row>
    <row r="694" spans="1:14">
      <c r="A694">
        <v>9115</v>
      </c>
      <c r="B694" t="s">
        <v>535</v>
      </c>
      <c r="C694" s="7">
        <v>42338</v>
      </c>
      <c r="D694" s="5">
        <v>0</v>
      </c>
      <c r="E694" s="12">
        <v>0.107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0.107</v>
      </c>
      <c r="N694">
        <v>0</v>
      </c>
    </row>
    <row r="695" spans="1:14">
      <c r="A695">
        <v>8883</v>
      </c>
      <c r="B695" t="s">
        <v>536</v>
      </c>
      <c r="C695" s="7">
        <v>42338</v>
      </c>
      <c r="D695" s="5">
        <v>30</v>
      </c>
      <c r="E695" s="12">
        <v>40.402000000000001</v>
      </c>
      <c r="F695" s="6">
        <v>0.67400000000000004</v>
      </c>
      <c r="G695" s="6">
        <v>1.02</v>
      </c>
      <c r="H695" s="6">
        <v>1752.289</v>
      </c>
      <c r="I695" s="6">
        <v>2056.9699999999998</v>
      </c>
      <c r="J695" s="6">
        <v>0</v>
      </c>
      <c r="K695" s="6">
        <v>304.68099999999998</v>
      </c>
      <c r="L695" s="6">
        <v>0</v>
      </c>
      <c r="M695" s="6">
        <v>40.747999999999998</v>
      </c>
      <c r="N695">
        <v>7.0940000000000003</v>
      </c>
    </row>
    <row r="696" spans="1:14">
      <c r="A696">
        <v>8882</v>
      </c>
      <c r="B696" t="s">
        <v>537</v>
      </c>
      <c r="C696" s="7">
        <v>42338</v>
      </c>
      <c r="D696" s="5">
        <v>30</v>
      </c>
      <c r="E696" s="12">
        <v>25.102</v>
      </c>
      <c r="F696" s="6">
        <v>0.96099999999999997</v>
      </c>
      <c r="G696" s="6">
        <v>1.1930000000000001</v>
      </c>
      <c r="H696" s="6">
        <v>2047.931</v>
      </c>
      <c r="I696" s="6">
        <v>2368.27</v>
      </c>
      <c r="J696" s="6">
        <v>0</v>
      </c>
      <c r="K696" s="6">
        <v>320.339</v>
      </c>
      <c r="L696" s="6">
        <v>0</v>
      </c>
      <c r="M696" s="6">
        <v>25.334</v>
      </c>
      <c r="N696">
        <v>8.2910000000000004</v>
      </c>
    </row>
    <row r="697" spans="1:14">
      <c r="A697">
        <v>9600</v>
      </c>
      <c r="B697" t="s">
        <v>741</v>
      </c>
      <c r="C697" s="7">
        <v>42338</v>
      </c>
      <c r="D697" s="5">
        <v>30</v>
      </c>
      <c r="E697" s="12">
        <v>24.454999999999998</v>
      </c>
      <c r="F697" s="6">
        <v>2.181</v>
      </c>
      <c r="G697" s="6">
        <v>6.3949999999999996</v>
      </c>
      <c r="H697" s="6">
        <v>4611.5479999999998</v>
      </c>
      <c r="I697" s="6">
        <v>4997.78</v>
      </c>
      <c r="J697" s="6">
        <v>0.75</v>
      </c>
      <c r="K697" s="6">
        <v>385.48200000000003</v>
      </c>
      <c r="L697" s="6">
        <v>0</v>
      </c>
      <c r="M697" s="6">
        <v>28.669</v>
      </c>
      <c r="N697">
        <v>114.01300000000001</v>
      </c>
    </row>
    <row r="698" spans="1:14">
      <c r="A698">
        <v>9599</v>
      </c>
      <c r="B698" t="s">
        <v>756</v>
      </c>
      <c r="C698" s="7">
        <v>42338</v>
      </c>
      <c r="D698" s="5">
        <v>30</v>
      </c>
      <c r="E698" s="12">
        <v>18.643000000000001</v>
      </c>
      <c r="F698" s="6">
        <v>1.67</v>
      </c>
      <c r="G698" s="6">
        <v>4.7169999999999996</v>
      </c>
      <c r="H698" s="6">
        <v>3401.0619999999999</v>
      </c>
      <c r="I698" s="6">
        <v>3722.99</v>
      </c>
      <c r="J698" s="6">
        <v>0.56000000000000005</v>
      </c>
      <c r="K698" s="6">
        <v>321.36799999999999</v>
      </c>
      <c r="L698" s="6">
        <v>0</v>
      </c>
      <c r="M698" s="6">
        <v>21.69</v>
      </c>
      <c r="N698">
        <v>84.085999999999999</v>
      </c>
    </row>
    <row r="699" spans="1:14">
      <c r="A699">
        <v>9601</v>
      </c>
      <c r="B699" t="s">
        <v>757</v>
      </c>
      <c r="C699" s="7">
        <v>42338</v>
      </c>
      <c r="D699" s="5">
        <v>30</v>
      </c>
      <c r="E699" s="12">
        <v>17.852</v>
      </c>
      <c r="F699" s="6">
        <v>1.583</v>
      </c>
      <c r="G699" s="6">
        <v>4.524</v>
      </c>
      <c r="H699" s="6">
        <v>3262.0259999999998</v>
      </c>
      <c r="I699" s="6">
        <v>3541.56</v>
      </c>
      <c r="J699" s="6">
        <v>0.53</v>
      </c>
      <c r="K699" s="6">
        <v>279.00400000000002</v>
      </c>
      <c r="L699" s="6">
        <v>0</v>
      </c>
      <c r="M699" s="6">
        <v>20.792999999999999</v>
      </c>
      <c r="N699">
        <v>80.647999999999996</v>
      </c>
    </row>
    <row r="700" spans="1:14">
      <c r="A700">
        <v>9605</v>
      </c>
      <c r="B700" t="s">
        <v>758</v>
      </c>
      <c r="C700" s="7">
        <v>42338</v>
      </c>
      <c r="D700" s="5">
        <v>0</v>
      </c>
      <c r="E700" s="12">
        <v>7.1520000000000001</v>
      </c>
      <c r="F700" s="6">
        <v>0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7.1520000000000001</v>
      </c>
      <c r="N700">
        <v>0</v>
      </c>
    </row>
    <row r="701" spans="1:14">
      <c r="A701">
        <v>9604</v>
      </c>
      <c r="B701" t="s">
        <v>759</v>
      </c>
      <c r="C701" s="7">
        <v>42338</v>
      </c>
      <c r="D701" s="5">
        <v>30</v>
      </c>
      <c r="E701" s="12">
        <v>18.536999999999999</v>
      </c>
      <c r="F701" s="6">
        <v>0.81699999999999995</v>
      </c>
      <c r="G701" s="6">
        <v>1.0860000000000001</v>
      </c>
      <c r="H701" s="6">
        <v>1733.201</v>
      </c>
      <c r="I701" s="6">
        <v>2037.09</v>
      </c>
      <c r="J701" s="6">
        <v>0.02</v>
      </c>
      <c r="K701" s="6">
        <v>303.86900000000003</v>
      </c>
      <c r="L701" s="6">
        <v>0</v>
      </c>
      <c r="M701" s="6">
        <v>18.806000000000001</v>
      </c>
      <c r="N701">
        <v>80.466999999999999</v>
      </c>
    </row>
    <row r="702" spans="1:14">
      <c r="A702">
        <v>9602</v>
      </c>
      <c r="B702" t="s">
        <v>760</v>
      </c>
      <c r="C702" s="7">
        <v>42338</v>
      </c>
      <c r="D702" s="5">
        <v>30</v>
      </c>
      <c r="E702" s="12">
        <v>12.788</v>
      </c>
      <c r="F702" s="6">
        <v>1.1479999999999999</v>
      </c>
      <c r="G702" s="6">
        <v>3.1819999999999999</v>
      </c>
      <c r="H702" s="6">
        <v>2294.567</v>
      </c>
      <c r="I702" s="6">
        <v>2628.54</v>
      </c>
      <c r="J702" s="6">
        <v>0.37</v>
      </c>
      <c r="K702" s="6">
        <v>333.60300000000001</v>
      </c>
      <c r="L702" s="6">
        <v>0</v>
      </c>
      <c r="M702" s="6">
        <v>14.821999999999999</v>
      </c>
      <c r="N702">
        <v>56.728999999999999</v>
      </c>
    </row>
    <row r="703" spans="1:14">
      <c r="A703">
        <v>9595</v>
      </c>
      <c r="B703" t="s">
        <v>761</v>
      </c>
      <c r="C703" s="7">
        <v>42338</v>
      </c>
      <c r="D703" s="5">
        <v>30</v>
      </c>
      <c r="E703" s="12">
        <v>13.439</v>
      </c>
      <c r="F703" s="6">
        <v>1.194</v>
      </c>
      <c r="G703" s="6">
        <v>3.3919999999999999</v>
      </c>
      <c r="H703" s="6">
        <v>2446.8989999999999</v>
      </c>
      <c r="I703" s="6">
        <v>2788.97</v>
      </c>
      <c r="J703" s="6">
        <v>0.4</v>
      </c>
      <c r="K703" s="6">
        <v>341.67099999999999</v>
      </c>
      <c r="L703" s="6">
        <v>0</v>
      </c>
      <c r="M703" s="6">
        <v>15.637</v>
      </c>
      <c r="N703">
        <v>60.496000000000002</v>
      </c>
    </row>
    <row r="704" spans="1:14">
      <c r="A704">
        <v>9119</v>
      </c>
      <c r="B704" t="s">
        <v>538</v>
      </c>
      <c r="C704" s="7">
        <v>42338</v>
      </c>
      <c r="D704" s="5">
        <v>30</v>
      </c>
      <c r="E704" s="12">
        <v>20.439</v>
      </c>
      <c r="F704" s="6">
        <v>1.456</v>
      </c>
      <c r="G704" s="6">
        <v>1.819</v>
      </c>
      <c r="H704" s="6">
        <v>2672.2629999999999</v>
      </c>
      <c r="I704" s="6">
        <v>3025.92</v>
      </c>
      <c r="J704" s="6">
        <v>0.05</v>
      </c>
      <c r="K704" s="6">
        <v>353.60700000000003</v>
      </c>
      <c r="L704" s="6">
        <v>0</v>
      </c>
      <c r="M704" s="6">
        <v>20.802</v>
      </c>
      <c r="N704">
        <v>125.05</v>
      </c>
    </row>
    <row r="705" spans="1:14">
      <c r="A705">
        <v>9596</v>
      </c>
      <c r="B705" t="s">
        <v>762</v>
      </c>
      <c r="C705" s="7">
        <v>42338</v>
      </c>
      <c r="D705" s="5">
        <v>30</v>
      </c>
      <c r="E705" s="12">
        <v>15.404</v>
      </c>
      <c r="F705" s="6">
        <v>0.747</v>
      </c>
      <c r="G705" s="6">
        <v>1.0049999999999999</v>
      </c>
      <c r="H705" s="6">
        <v>1488.558</v>
      </c>
      <c r="I705" s="6">
        <v>1708.66</v>
      </c>
      <c r="J705" s="6">
        <v>0.03</v>
      </c>
      <c r="K705" s="6">
        <v>220.072</v>
      </c>
      <c r="L705" s="6">
        <v>0</v>
      </c>
      <c r="M705" s="6">
        <v>15.662000000000001</v>
      </c>
      <c r="N705">
        <v>92.141999999999996</v>
      </c>
    </row>
    <row r="706" spans="1:14">
      <c r="A706">
        <v>9597</v>
      </c>
      <c r="B706" t="s">
        <v>827</v>
      </c>
      <c r="C706" s="7">
        <v>42338</v>
      </c>
      <c r="D706" s="5">
        <v>30</v>
      </c>
      <c r="E706" s="12">
        <v>28.38</v>
      </c>
      <c r="F706" s="6">
        <v>0.97499999999999998</v>
      </c>
      <c r="G706" s="6">
        <v>1.2010000000000001</v>
      </c>
      <c r="H706" s="6">
        <v>1774.133</v>
      </c>
      <c r="I706" s="6">
        <v>2009.36</v>
      </c>
      <c r="J706" s="6">
        <v>0.03</v>
      </c>
      <c r="K706" s="6">
        <v>235.197</v>
      </c>
      <c r="L706" s="6">
        <v>0</v>
      </c>
      <c r="M706" s="6">
        <v>28.606000000000002</v>
      </c>
      <c r="N706">
        <v>109.819</v>
      </c>
    </row>
    <row r="707" spans="1:14">
      <c r="A707">
        <v>9598</v>
      </c>
      <c r="B707" t="s">
        <v>763</v>
      </c>
      <c r="C707" s="7">
        <v>42338</v>
      </c>
      <c r="D707" s="5">
        <v>30</v>
      </c>
      <c r="E707" s="12">
        <v>21.774000000000001</v>
      </c>
      <c r="F707" s="6">
        <v>0.94399999999999995</v>
      </c>
      <c r="G707" s="6">
        <v>1.254</v>
      </c>
      <c r="H707" s="6">
        <v>1855.1420000000001</v>
      </c>
      <c r="I707" s="6">
        <v>2059.67</v>
      </c>
      <c r="J707" s="6">
        <v>0.04</v>
      </c>
      <c r="K707" s="6">
        <v>204.488</v>
      </c>
      <c r="L707" s="6">
        <v>0</v>
      </c>
      <c r="M707" s="6">
        <v>22.084</v>
      </c>
      <c r="N707">
        <v>114.834</v>
      </c>
    </row>
    <row r="708" spans="1:14">
      <c r="A708">
        <v>9257</v>
      </c>
      <c r="B708" t="s">
        <v>539</v>
      </c>
      <c r="C708" s="7">
        <v>42338</v>
      </c>
      <c r="D708" s="5">
        <v>30</v>
      </c>
      <c r="E708" s="12">
        <v>118.75700000000001</v>
      </c>
      <c r="F708" s="6">
        <v>0.22600000000000001</v>
      </c>
      <c r="G708" s="6">
        <v>0.27500000000000002</v>
      </c>
      <c r="H708" s="6">
        <v>472</v>
      </c>
      <c r="I708" s="6">
        <v>603.03</v>
      </c>
      <c r="J708" s="6">
        <v>0</v>
      </c>
      <c r="K708" s="6">
        <v>131.03</v>
      </c>
      <c r="L708" s="6">
        <v>0</v>
      </c>
      <c r="M708" s="6">
        <v>118.806</v>
      </c>
      <c r="N708">
        <v>1.911</v>
      </c>
    </row>
    <row r="709" spans="1:14">
      <c r="A709">
        <v>9071</v>
      </c>
      <c r="B709" t="s">
        <v>540</v>
      </c>
      <c r="C709" s="7">
        <v>42338</v>
      </c>
      <c r="D709" s="5">
        <v>14</v>
      </c>
      <c r="E709" s="12">
        <v>19.225999999999999</v>
      </c>
      <c r="F709" s="6">
        <v>0.191</v>
      </c>
      <c r="G709" s="6">
        <v>2.6429999999999998</v>
      </c>
      <c r="H709" s="6">
        <v>1784.674</v>
      </c>
      <c r="I709" s="6">
        <v>1970.83</v>
      </c>
      <c r="J709" s="6">
        <v>0.33</v>
      </c>
      <c r="K709" s="6">
        <v>185.82599999999999</v>
      </c>
      <c r="L709" s="6">
        <v>0</v>
      </c>
      <c r="M709" s="6">
        <v>21.678000000000001</v>
      </c>
      <c r="N709">
        <v>499.23500000000001</v>
      </c>
    </row>
    <row r="710" spans="1:14">
      <c r="A710">
        <v>9072</v>
      </c>
      <c r="B710" t="s">
        <v>541</v>
      </c>
      <c r="C710" s="7">
        <v>42338</v>
      </c>
      <c r="D710" s="5">
        <v>30</v>
      </c>
      <c r="E710" s="12">
        <v>23.524000000000001</v>
      </c>
      <c r="F710" s="6">
        <v>1.0089999999999999</v>
      </c>
      <c r="G710" s="6">
        <v>1.1850000000000001</v>
      </c>
      <c r="H710" s="6">
        <v>2035.395</v>
      </c>
      <c r="I710" s="6">
        <v>2284.23</v>
      </c>
      <c r="J710" s="6">
        <v>0</v>
      </c>
      <c r="K710" s="6">
        <v>248.83500000000001</v>
      </c>
      <c r="L710" s="6">
        <v>0</v>
      </c>
      <c r="M710" s="6">
        <v>23.7</v>
      </c>
      <c r="N710">
        <v>8.24</v>
      </c>
    </row>
    <row r="711" spans="1:14">
      <c r="A711">
        <v>9073</v>
      </c>
      <c r="B711" t="s">
        <v>542</v>
      </c>
      <c r="C711" s="7">
        <v>42338</v>
      </c>
      <c r="D711" s="5">
        <v>30</v>
      </c>
      <c r="E711" s="12">
        <v>16.443999999999999</v>
      </c>
      <c r="F711" s="6">
        <v>0.75900000000000001</v>
      </c>
      <c r="G711" s="6">
        <v>0.95499999999999996</v>
      </c>
      <c r="H711" s="6">
        <v>1641.934</v>
      </c>
      <c r="I711" s="6">
        <v>1834.93</v>
      </c>
      <c r="J711" s="6">
        <v>0</v>
      </c>
      <c r="K711" s="6">
        <v>192.99600000000001</v>
      </c>
      <c r="L711" s="6">
        <v>0</v>
      </c>
      <c r="M711" s="6">
        <v>16.64</v>
      </c>
      <c r="N711">
        <v>6.6479999999999997</v>
      </c>
    </row>
    <row r="712" spans="1:14">
      <c r="A712">
        <v>9121</v>
      </c>
      <c r="B712" t="s">
        <v>543</v>
      </c>
      <c r="C712" s="7">
        <v>42338</v>
      </c>
      <c r="D712" s="5">
        <v>30</v>
      </c>
      <c r="E712" s="12">
        <v>22.846</v>
      </c>
      <c r="F712" s="6">
        <v>0.68799999999999994</v>
      </c>
      <c r="G712" s="6">
        <v>1.004</v>
      </c>
      <c r="H712" s="6">
        <v>1405.8389999999999</v>
      </c>
      <c r="I712" s="6">
        <v>1621.37</v>
      </c>
      <c r="J712" s="6">
        <v>0.04</v>
      </c>
      <c r="K712" s="6">
        <v>215.49100000000001</v>
      </c>
      <c r="L712" s="6">
        <v>0</v>
      </c>
      <c r="M712" s="6">
        <v>23.161999999999999</v>
      </c>
      <c r="N712">
        <v>82.254999999999995</v>
      </c>
    </row>
    <row r="713" spans="1:14">
      <c r="A713">
        <v>9120</v>
      </c>
      <c r="B713" t="s">
        <v>544</v>
      </c>
      <c r="C713" s="7">
        <v>42338</v>
      </c>
      <c r="D713" s="5">
        <v>30</v>
      </c>
      <c r="E713" s="12">
        <v>25.46</v>
      </c>
      <c r="F713" s="6">
        <v>0.83399999999999996</v>
      </c>
      <c r="G713" s="6">
        <v>1.2170000000000001</v>
      </c>
      <c r="H713" s="6">
        <v>1704.8050000000001</v>
      </c>
      <c r="I713" s="6">
        <v>1936.18</v>
      </c>
      <c r="J713" s="6">
        <v>0.05</v>
      </c>
      <c r="K713" s="6">
        <v>231.32499999999999</v>
      </c>
      <c r="L713" s="6">
        <v>0</v>
      </c>
      <c r="M713" s="6">
        <v>25.843</v>
      </c>
      <c r="N713">
        <v>99.745999999999995</v>
      </c>
    </row>
    <row r="714" spans="1:14">
      <c r="A714">
        <v>9112</v>
      </c>
      <c r="B714" t="s">
        <v>545</v>
      </c>
      <c r="C714" s="7">
        <v>42338</v>
      </c>
      <c r="D714" s="5">
        <v>30</v>
      </c>
      <c r="E714" s="12">
        <v>44.301000000000002</v>
      </c>
      <c r="F714" s="6">
        <v>0.74399999999999999</v>
      </c>
      <c r="G714" s="6">
        <v>2.766</v>
      </c>
      <c r="H714" s="6">
        <v>1547.4390000000001</v>
      </c>
      <c r="I714" s="6">
        <v>1911.65</v>
      </c>
      <c r="J714" s="6">
        <v>0.38</v>
      </c>
      <c r="K714" s="6">
        <v>363.83100000000002</v>
      </c>
      <c r="L714" s="6">
        <v>0</v>
      </c>
      <c r="M714" s="6">
        <v>46.323</v>
      </c>
      <c r="N714">
        <v>103.108</v>
      </c>
    </row>
    <row r="715" spans="1:14">
      <c r="A715">
        <v>9113</v>
      </c>
      <c r="B715" t="s">
        <v>546</v>
      </c>
      <c r="C715" s="7">
        <v>42338</v>
      </c>
      <c r="D715" s="5">
        <v>30</v>
      </c>
      <c r="E715" s="12">
        <v>31.381</v>
      </c>
      <c r="F715" s="6">
        <v>0.56699999999999995</v>
      </c>
      <c r="G715" s="6">
        <v>2.129</v>
      </c>
      <c r="H715" s="6">
        <v>1190.7329999999999</v>
      </c>
      <c r="I715" s="6">
        <v>1395.12</v>
      </c>
      <c r="J715" s="6">
        <v>0.28999999999999998</v>
      </c>
      <c r="K715" s="6">
        <v>204.09700000000001</v>
      </c>
      <c r="L715" s="6">
        <v>0</v>
      </c>
      <c r="M715" s="6">
        <v>32.942999999999998</v>
      </c>
      <c r="N715">
        <v>79.338999999999999</v>
      </c>
    </row>
    <row r="716" spans="1:14">
      <c r="A716">
        <v>9114</v>
      </c>
      <c r="B716" t="s">
        <v>547</v>
      </c>
      <c r="C716" s="7">
        <v>42338</v>
      </c>
      <c r="D716" s="5">
        <v>30</v>
      </c>
      <c r="E716" s="12">
        <v>12.327999999999999</v>
      </c>
      <c r="F716" s="6">
        <v>0.78800000000000003</v>
      </c>
      <c r="G716" s="6">
        <v>0.92</v>
      </c>
      <c r="H716" s="6">
        <v>1580.5840000000001</v>
      </c>
      <c r="I716" s="6">
        <v>1748.67</v>
      </c>
      <c r="J716" s="6">
        <v>0</v>
      </c>
      <c r="K716" s="6">
        <v>168.08600000000001</v>
      </c>
      <c r="L716" s="6">
        <v>0</v>
      </c>
      <c r="M716" s="6">
        <v>12.46</v>
      </c>
      <c r="N716">
        <v>83.049000000000007</v>
      </c>
    </row>
    <row r="717" spans="1:14">
      <c r="A717">
        <v>9559</v>
      </c>
      <c r="B717" t="s">
        <v>548</v>
      </c>
      <c r="C717" s="7">
        <v>42338</v>
      </c>
      <c r="D717" s="5">
        <v>30</v>
      </c>
      <c r="E717" s="12">
        <v>24.936</v>
      </c>
      <c r="F717" s="6">
        <v>0.82</v>
      </c>
      <c r="G717" s="6">
        <v>8.1519999999999992</v>
      </c>
      <c r="H717" s="6">
        <v>1641.08</v>
      </c>
      <c r="I717" s="6">
        <v>1813.83</v>
      </c>
      <c r="J717" s="6">
        <v>1.46</v>
      </c>
      <c r="K717" s="6">
        <v>171.29</v>
      </c>
      <c r="L717" s="6">
        <v>0</v>
      </c>
      <c r="M717" s="6">
        <v>32.268000000000001</v>
      </c>
      <c r="N717">
        <v>56.524000000000001</v>
      </c>
    </row>
    <row r="718" spans="1:14">
      <c r="A718">
        <v>9111</v>
      </c>
      <c r="B718" t="s">
        <v>549</v>
      </c>
      <c r="C718" s="7">
        <v>42338</v>
      </c>
      <c r="D718" s="5">
        <v>29</v>
      </c>
      <c r="E718" s="12">
        <v>15.617000000000001</v>
      </c>
      <c r="F718" s="6">
        <v>0.88400000000000001</v>
      </c>
      <c r="G718" s="6">
        <v>0.96799999999999997</v>
      </c>
      <c r="H718" s="6">
        <v>1663.873</v>
      </c>
      <c r="I718" s="6">
        <v>2033.87</v>
      </c>
      <c r="J718" s="6">
        <v>0</v>
      </c>
      <c r="K718" s="6">
        <v>369.99700000000001</v>
      </c>
      <c r="L718" s="6">
        <v>0</v>
      </c>
      <c r="M718" s="6">
        <v>15.701000000000001</v>
      </c>
      <c r="N718">
        <v>87.426000000000002</v>
      </c>
    </row>
    <row r="719" spans="1:14">
      <c r="A719">
        <v>9560</v>
      </c>
      <c r="B719" t="s">
        <v>550</v>
      </c>
      <c r="C719" s="7">
        <v>42338</v>
      </c>
      <c r="D719" s="5">
        <v>30</v>
      </c>
      <c r="E719" s="12">
        <v>13.868</v>
      </c>
      <c r="F719" s="6">
        <v>0.32400000000000001</v>
      </c>
      <c r="G719" s="6">
        <v>3.2280000000000002</v>
      </c>
      <c r="H719" s="6">
        <v>649.68899999999996</v>
      </c>
      <c r="I719" s="6">
        <v>790.71</v>
      </c>
      <c r="J719" s="6">
        <v>0.57999999999999996</v>
      </c>
      <c r="K719" s="6">
        <v>140.441</v>
      </c>
      <c r="L719" s="6">
        <v>0</v>
      </c>
      <c r="M719" s="6">
        <v>16.771999999999998</v>
      </c>
      <c r="N719">
        <v>22.376999999999999</v>
      </c>
    </row>
    <row r="720" spans="1:14">
      <c r="A720">
        <v>8956</v>
      </c>
      <c r="B720" t="s">
        <v>551</v>
      </c>
      <c r="C720" s="7">
        <v>42338</v>
      </c>
      <c r="D720" s="5">
        <v>30</v>
      </c>
      <c r="E720" s="12">
        <v>96.674000000000007</v>
      </c>
      <c r="F720" s="6">
        <v>0.77</v>
      </c>
      <c r="G720" s="6">
        <v>0.51600000000000001</v>
      </c>
      <c r="H720" s="6">
        <v>885.49900000000002</v>
      </c>
      <c r="I720" s="6">
        <v>1074.5899999999999</v>
      </c>
      <c r="J720" s="6">
        <v>0</v>
      </c>
      <c r="K720" s="6">
        <v>189.09100000000001</v>
      </c>
      <c r="L720" s="6">
        <v>0</v>
      </c>
      <c r="M720" s="6">
        <v>96.42</v>
      </c>
      <c r="N720">
        <v>3.585</v>
      </c>
    </row>
    <row r="721" spans="1:14">
      <c r="A721">
        <v>8837</v>
      </c>
      <c r="B721" t="s">
        <v>552</v>
      </c>
      <c r="C721" s="7">
        <v>42338</v>
      </c>
      <c r="D721" s="5">
        <v>30</v>
      </c>
      <c r="E721" s="12">
        <v>38.744999999999997</v>
      </c>
      <c r="F721" s="6">
        <v>0.185</v>
      </c>
      <c r="G721" s="6">
        <v>0.223</v>
      </c>
      <c r="H721" s="6">
        <v>383.77300000000002</v>
      </c>
      <c r="I721" s="6">
        <v>545.13</v>
      </c>
      <c r="J721" s="6">
        <v>0</v>
      </c>
      <c r="K721" s="6">
        <v>161.357</v>
      </c>
      <c r="L721" s="6">
        <v>0</v>
      </c>
      <c r="M721" s="6">
        <v>38.783000000000001</v>
      </c>
      <c r="N721">
        <v>1.5529999999999999</v>
      </c>
    </row>
    <row r="722" spans="1:14">
      <c r="A722">
        <v>9086</v>
      </c>
      <c r="B722" t="s">
        <v>553</v>
      </c>
      <c r="C722" s="7">
        <v>42338</v>
      </c>
      <c r="D722" s="5">
        <v>30</v>
      </c>
      <c r="E722" s="12">
        <v>32.738</v>
      </c>
      <c r="F722" s="6">
        <v>2.0190000000000001</v>
      </c>
      <c r="G722" s="6">
        <v>2.2160000000000002</v>
      </c>
      <c r="H722" s="6">
        <v>2221.5790000000002</v>
      </c>
      <c r="I722" s="6">
        <v>2449.94</v>
      </c>
      <c r="J722" s="6">
        <v>0.11</v>
      </c>
      <c r="K722" s="6">
        <v>228.251</v>
      </c>
      <c r="L722" s="6">
        <v>0</v>
      </c>
      <c r="M722" s="6">
        <v>32.935000000000002</v>
      </c>
      <c r="N722">
        <v>85.647999999999996</v>
      </c>
    </row>
    <row r="723" spans="1:14">
      <c r="A723">
        <v>9108</v>
      </c>
      <c r="B723" t="s">
        <v>554</v>
      </c>
      <c r="C723" s="7">
        <v>42338</v>
      </c>
      <c r="D723" s="5">
        <v>30</v>
      </c>
      <c r="E723" s="12">
        <v>131.845</v>
      </c>
      <c r="F723" s="6">
        <v>91.319000000000003</v>
      </c>
      <c r="G723" s="6">
        <v>3.246</v>
      </c>
      <c r="H723" s="6">
        <v>3852.74</v>
      </c>
      <c r="I723" s="6">
        <v>4177.1400000000003</v>
      </c>
      <c r="J723" s="6">
        <v>0.06</v>
      </c>
      <c r="K723" s="6">
        <v>324.33999999999997</v>
      </c>
      <c r="L723" s="6">
        <v>0</v>
      </c>
      <c r="M723" s="6">
        <v>43.771999999999998</v>
      </c>
      <c r="N723">
        <v>178.41</v>
      </c>
    </row>
    <row r="724" spans="1:14">
      <c r="A724">
        <v>9085</v>
      </c>
      <c r="B724" t="s">
        <v>555</v>
      </c>
      <c r="C724" s="7">
        <v>42338</v>
      </c>
      <c r="D724" s="5">
        <v>30</v>
      </c>
      <c r="E724" s="12">
        <v>15.801</v>
      </c>
      <c r="F724" s="6">
        <v>1.361</v>
      </c>
      <c r="G724" s="6">
        <v>1.7050000000000001</v>
      </c>
      <c r="H724" s="6">
        <v>1567.8440000000001</v>
      </c>
      <c r="I724" s="6">
        <v>1866.07</v>
      </c>
      <c r="J724" s="6">
        <v>0.1</v>
      </c>
      <c r="K724" s="6">
        <v>298.12599999999998</v>
      </c>
      <c r="L724" s="6">
        <v>0</v>
      </c>
      <c r="M724" s="6">
        <v>16.145</v>
      </c>
      <c r="N724">
        <v>88.894000000000005</v>
      </c>
    </row>
    <row r="725" spans="1:14">
      <c r="A725">
        <v>9109</v>
      </c>
      <c r="B725" t="s">
        <v>556</v>
      </c>
      <c r="C725" s="7">
        <v>42338</v>
      </c>
      <c r="D725" s="5">
        <v>2</v>
      </c>
      <c r="E725" s="12">
        <v>20.006</v>
      </c>
      <c r="F725" s="6">
        <v>1.4</v>
      </c>
      <c r="G725" s="6">
        <v>7.0000000000000001E-3</v>
      </c>
      <c r="H725" s="6">
        <v>7.0140000000000002</v>
      </c>
      <c r="I725" s="6">
        <v>245.39</v>
      </c>
      <c r="J725" s="6">
        <v>26.12</v>
      </c>
      <c r="K725" s="6">
        <v>212.256</v>
      </c>
      <c r="L725" s="6">
        <v>26.12</v>
      </c>
      <c r="M725" s="6">
        <v>18.613</v>
      </c>
      <c r="N725">
        <v>0.39800000000000002</v>
      </c>
    </row>
    <row r="726" spans="1:14">
      <c r="A726">
        <v>9087</v>
      </c>
      <c r="B726" t="s">
        <v>557</v>
      </c>
      <c r="C726" s="7">
        <v>42338</v>
      </c>
      <c r="D726" s="5">
        <v>4</v>
      </c>
      <c r="E726" s="12">
        <v>4.7</v>
      </c>
      <c r="F726" s="6">
        <v>0</v>
      </c>
      <c r="G726" s="6">
        <v>8.5999999999999993E-2</v>
      </c>
      <c r="H726" s="6">
        <v>99.998999999999995</v>
      </c>
      <c r="I726" s="6">
        <v>211.53</v>
      </c>
      <c r="J726" s="6">
        <v>0</v>
      </c>
      <c r="K726" s="6">
        <v>111.53100000000001</v>
      </c>
      <c r="L726" s="6">
        <v>0</v>
      </c>
      <c r="M726" s="6">
        <v>4.7859999999999996</v>
      </c>
      <c r="N726">
        <v>33.470999999999997</v>
      </c>
    </row>
    <row r="727" spans="1:14">
      <c r="A727">
        <v>9088</v>
      </c>
      <c r="B727" t="s">
        <v>558</v>
      </c>
      <c r="C727" s="7">
        <v>42338</v>
      </c>
      <c r="D727" s="5">
        <v>29</v>
      </c>
      <c r="E727" s="12">
        <v>52.070999999999998</v>
      </c>
      <c r="F727" s="6">
        <v>0.48099999999999998</v>
      </c>
      <c r="G727" s="6">
        <v>3.2410000000000001</v>
      </c>
      <c r="H727" s="6">
        <v>3741.1770000000001</v>
      </c>
      <c r="I727" s="6">
        <v>4053.11</v>
      </c>
      <c r="J727" s="6">
        <v>0.08</v>
      </c>
      <c r="K727" s="6">
        <v>311.85300000000001</v>
      </c>
      <c r="L727" s="6">
        <v>0</v>
      </c>
      <c r="M727" s="6">
        <v>54.831000000000003</v>
      </c>
      <c r="N727">
        <v>1252.2329999999999</v>
      </c>
    </row>
    <row r="728" spans="1:14">
      <c r="A728">
        <v>8822</v>
      </c>
      <c r="B728" t="s">
        <v>559</v>
      </c>
      <c r="C728" s="7">
        <v>42338</v>
      </c>
      <c r="D728" s="5">
        <v>28</v>
      </c>
      <c r="E728" s="12">
        <v>12.782999999999999</v>
      </c>
      <c r="F728" s="6">
        <v>1.2350000000000001</v>
      </c>
      <c r="G728" s="6">
        <v>0.96399999999999997</v>
      </c>
      <c r="H728" s="6">
        <v>1266.048</v>
      </c>
      <c r="I728" s="6">
        <v>1547.57</v>
      </c>
      <c r="J728" s="6">
        <v>0</v>
      </c>
      <c r="K728" s="6">
        <v>281.52199999999999</v>
      </c>
      <c r="L728" s="6">
        <v>0</v>
      </c>
      <c r="M728" s="6">
        <v>12.512</v>
      </c>
      <c r="N728">
        <v>3.16</v>
      </c>
    </row>
    <row r="729" spans="1:14">
      <c r="A729">
        <v>9070</v>
      </c>
      <c r="B729" t="s">
        <v>560</v>
      </c>
      <c r="C729" s="7">
        <v>42338</v>
      </c>
      <c r="D729" s="5">
        <v>30</v>
      </c>
      <c r="E729" s="12">
        <v>14.297000000000001</v>
      </c>
      <c r="F729" s="6">
        <v>1.59</v>
      </c>
      <c r="G729" s="6">
        <v>1.4390000000000001</v>
      </c>
      <c r="H729" s="6">
        <v>1891.0619999999999</v>
      </c>
      <c r="I729" s="6">
        <v>2276.9699999999998</v>
      </c>
      <c r="J729" s="6">
        <v>0</v>
      </c>
      <c r="K729" s="6">
        <v>385.90800000000002</v>
      </c>
      <c r="L729" s="6">
        <v>0</v>
      </c>
      <c r="M729" s="6">
        <v>14.146000000000001</v>
      </c>
      <c r="N729">
        <v>4.72</v>
      </c>
    </row>
    <row r="730" spans="1:14">
      <c r="A730">
        <v>8988</v>
      </c>
      <c r="B730" t="s">
        <v>561</v>
      </c>
      <c r="C730" s="7">
        <v>42338</v>
      </c>
      <c r="D730" s="5">
        <v>30</v>
      </c>
      <c r="E730" s="12">
        <v>12.929</v>
      </c>
      <c r="F730" s="6">
        <v>1.3149999999999999</v>
      </c>
      <c r="G730" s="6">
        <v>1.2410000000000001</v>
      </c>
      <c r="H730" s="6">
        <v>1588.1289999999999</v>
      </c>
      <c r="I730" s="6">
        <v>1820</v>
      </c>
      <c r="J730" s="6">
        <v>0.01</v>
      </c>
      <c r="K730" s="6">
        <v>231.86099999999999</v>
      </c>
      <c r="L730" s="6">
        <v>0</v>
      </c>
      <c r="M730" s="6">
        <v>12.855</v>
      </c>
      <c r="N730">
        <v>8.1010000000000009</v>
      </c>
    </row>
    <row r="731" spans="1:14">
      <c r="A731">
        <v>8952</v>
      </c>
      <c r="B731" t="s">
        <v>562</v>
      </c>
      <c r="C731" s="7">
        <v>42338</v>
      </c>
      <c r="D731" s="5">
        <v>30</v>
      </c>
      <c r="E731" s="12">
        <v>28.358000000000001</v>
      </c>
      <c r="F731" s="6">
        <v>1.208</v>
      </c>
      <c r="G731" s="6">
        <v>1.0740000000000001</v>
      </c>
      <c r="H731" s="6">
        <v>1410.595</v>
      </c>
      <c r="I731" s="6">
        <v>1629.23</v>
      </c>
      <c r="J731" s="6">
        <v>0</v>
      </c>
      <c r="K731" s="6">
        <v>218.63499999999999</v>
      </c>
      <c r="L731" s="6">
        <v>0</v>
      </c>
      <c r="M731" s="6">
        <v>28.224</v>
      </c>
      <c r="N731">
        <v>3.5209999999999999</v>
      </c>
    </row>
    <row r="732" spans="1:14">
      <c r="A732">
        <v>8953</v>
      </c>
      <c r="B732" t="s">
        <v>563</v>
      </c>
      <c r="C732" s="7">
        <v>42338</v>
      </c>
      <c r="D732" s="5">
        <v>30</v>
      </c>
      <c r="E732" s="12">
        <v>12.276999999999999</v>
      </c>
      <c r="F732" s="6">
        <v>0.61599999999999999</v>
      </c>
      <c r="G732" s="6">
        <v>0.52500000000000002</v>
      </c>
      <c r="H732" s="6">
        <v>690.322</v>
      </c>
      <c r="I732" s="6">
        <v>834.33</v>
      </c>
      <c r="J732" s="6">
        <v>0</v>
      </c>
      <c r="K732" s="6">
        <v>144.00800000000001</v>
      </c>
      <c r="L732" s="6">
        <v>0</v>
      </c>
      <c r="M732" s="6">
        <v>12.186</v>
      </c>
      <c r="N732">
        <v>1.7230000000000001</v>
      </c>
    </row>
    <row r="733" spans="1:14">
      <c r="A733">
        <v>8954</v>
      </c>
      <c r="B733" t="s">
        <v>564</v>
      </c>
      <c r="C733" s="7">
        <v>42338</v>
      </c>
      <c r="D733" s="5">
        <v>30</v>
      </c>
      <c r="E733" s="12">
        <v>16.672000000000001</v>
      </c>
      <c r="F733" s="6">
        <v>1.0640000000000001</v>
      </c>
      <c r="G733" s="6">
        <v>0.97</v>
      </c>
      <c r="H733" s="6">
        <v>1274.3889999999999</v>
      </c>
      <c r="I733" s="6">
        <v>1452.26</v>
      </c>
      <c r="J733" s="6">
        <v>0</v>
      </c>
      <c r="K733" s="6">
        <v>177.87100000000001</v>
      </c>
      <c r="L733" s="6">
        <v>0</v>
      </c>
      <c r="M733" s="6">
        <v>16.577999999999999</v>
      </c>
      <c r="N733">
        <v>3.181</v>
      </c>
    </row>
    <row r="734" spans="1:14">
      <c r="A734">
        <v>8813</v>
      </c>
      <c r="B734" t="s">
        <v>661</v>
      </c>
      <c r="C734" s="7">
        <v>42338</v>
      </c>
      <c r="D734" s="5">
        <v>0</v>
      </c>
      <c r="E734" s="12">
        <v>3.387</v>
      </c>
      <c r="F734" s="6">
        <v>0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3.387</v>
      </c>
      <c r="N734">
        <v>0</v>
      </c>
    </row>
    <row r="735" spans="1:14">
      <c r="A735">
        <v>8871</v>
      </c>
      <c r="B735" t="s">
        <v>565</v>
      </c>
      <c r="C735" s="7">
        <v>42338</v>
      </c>
      <c r="D735" s="5">
        <v>30</v>
      </c>
      <c r="E735" s="12">
        <v>34.049999999999997</v>
      </c>
      <c r="F735" s="6">
        <v>0.94499999999999995</v>
      </c>
      <c r="G735" s="6">
        <v>0.97899999999999998</v>
      </c>
      <c r="H735" s="6">
        <v>1074.297</v>
      </c>
      <c r="I735" s="6">
        <v>1275.69</v>
      </c>
      <c r="J735" s="6">
        <v>0.03</v>
      </c>
      <c r="K735" s="6">
        <v>201.363</v>
      </c>
      <c r="L735" s="6">
        <v>0</v>
      </c>
      <c r="M735" s="6">
        <v>34.084000000000003</v>
      </c>
      <c r="N735">
        <v>133.90899999999999</v>
      </c>
    </row>
    <row r="736" spans="1:14">
      <c r="A736">
        <v>8810</v>
      </c>
      <c r="B736" t="s">
        <v>566</v>
      </c>
      <c r="C736" s="7">
        <v>42338</v>
      </c>
      <c r="D736" s="5">
        <v>30</v>
      </c>
      <c r="E736" s="12">
        <v>57.215000000000003</v>
      </c>
      <c r="F736" s="6">
        <v>1.3720000000000001</v>
      </c>
      <c r="G736" s="6">
        <v>1.4330000000000001</v>
      </c>
      <c r="H736" s="6">
        <v>1623.2940000000001</v>
      </c>
      <c r="I736" s="6">
        <v>1854.9</v>
      </c>
      <c r="J736" s="6">
        <v>0.04</v>
      </c>
      <c r="K736" s="6">
        <v>231.566</v>
      </c>
      <c r="L736" s="6">
        <v>0</v>
      </c>
      <c r="M736" s="6">
        <v>57.276000000000003</v>
      </c>
      <c r="N736">
        <v>347.30900000000003</v>
      </c>
    </row>
    <row r="737" spans="1:14">
      <c r="A737">
        <v>8866</v>
      </c>
      <c r="B737" t="s">
        <v>567</v>
      </c>
      <c r="C737" s="7">
        <v>42338</v>
      </c>
      <c r="D737" s="5">
        <v>27</v>
      </c>
      <c r="E737" s="12">
        <v>42.198999999999998</v>
      </c>
      <c r="F737" s="6">
        <v>0.92400000000000004</v>
      </c>
      <c r="G737" s="6">
        <v>0.79500000000000004</v>
      </c>
      <c r="H737" s="6">
        <v>900.08199999999999</v>
      </c>
      <c r="I737" s="6">
        <v>1099.3900000000001</v>
      </c>
      <c r="J737" s="6">
        <v>0.02</v>
      </c>
      <c r="K737" s="6">
        <v>199.28800000000001</v>
      </c>
      <c r="L737" s="6">
        <v>0</v>
      </c>
      <c r="M737" s="6">
        <v>42.07</v>
      </c>
      <c r="N737">
        <v>192.57499999999999</v>
      </c>
    </row>
    <row r="738" spans="1:14">
      <c r="A738">
        <v>8870</v>
      </c>
      <c r="B738" t="s">
        <v>568</v>
      </c>
      <c r="C738" s="7">
        <v>42338</v>
      </c>
      <c r="D738" s="5">
        <v>30</v>
      </c>
      <c r="E738" s="12">
        <v>42.78</v>
      </c>
      <c r="F738" s="6">
        <v>0.89200000000000002</v>
      </c>
      <c r="G738" s="6">
        <v>0.93300000000000005</v>
      </c>
      <c r="H738" s="6">
        <v>1021.976</v>
      </c>
      <c r="I738" s="6">
        <v>1220.49</v>
      </c>
      <c r="J738" s="6">
        <v>0.03</v>
      </c>
      <c r="K738" s="6">
        <v>198.48400000000001</v>
      </c>
      <c r="L738" s="6">
        <v>0</v>
      </c>
      <c r="M738" s="6">
        <v>42.820999999999998</v>
      </c>
      <c r="N738">
        <v>127.386</v>
      </c>
    </row>
    <row r="739" spans="1:14">
      <c r="A739">
        <v>8887</v>
      </c>
      <c r="B739" t="s">
        <v>569</v>
      </c>
      <c r="C739" s="7">
        <v>42338</v>
      </c>
      <c r="D739" s="5">
        <v>30</v>
      </c>
      <c r="E739" s="12">
        <v>25.79</v>
      </c>
      <c r="F739" s="6">
        <v>1.831</v>
      </c>
      <c r="G739" s="6">
        <v>2.0699999999999998</v>
      </c>
      <c r="H739" s="6">
        <v>2204.4229999999998</v>
      </c>
      <c r="I739" s="6">
        <v>2537.65</v>
      </c>
      <c r="J739" s="6">
        <v>0.08</v>
      </c>
      <c r="K739" s="6">
        <v>333.14699999999999</v>
      </c>
      <c r="L739" s="6">
        <v>0</v>
      </c>
      <c r="M739" s="6">
        <v>26.029</v>
      </c>
      <c r="N739">
        <v>97.578000000000003</v>
      </c>
    </row>
    <row r="740" spans="1:14">
      <c r="A740">
        <v>8851</v>
      </c>
      <c r="B740" t="s">
        <v>570</v>
      </c>
      <c r="C740" s="7">
        <v>42338</v>
      </c>
      <c r="D740" s="5">
        <v>30</v>
      </c>
      <c r="E740" s="12">
        <v>18.04</v>
      </c>
      <c r="F740" s="6">
        <v>1.141</v>
      </c>
      <c r="G740" s="6">
        <v>1.0429999999999999</v>
      </c>
      <c r="H740" s="6">
        <v>1369.7429999999999</v>
      </c>
      <c r="I740" s="6">
        <v>1551.13</v>
      </c>
      <c r="J740" s="6">
        <v>0</v>
      </c>
      <c r="K740" s="6">
        <v>181.387</v>
      </c>
      <c r="L740" s="6">
        <v>0</v>
      </c>
      <c r="M740" s="6">
        <v>17.942</v>
      </c>
      <c r="N740">
        <v>3.419</v>
      </c>
    </row>
    <row r="741" spans="1:14">
      <c r="A741">
        <v>8820</v>
      </c>
      <c r="B741" t="s">
        <v>571</v>
      </c>
      <c r="C741" s="7">
        <v>42338</v>
      </c>
      <c r="D741" s="5">
        <v>30</v>
      </c>
      <c r="E741" s="12">
        <v>16.126000000000001</v>
      </c>
      <c r="F741" s="6">
        <v>0.622</v>
      </c>
      <c r="G741" s="6">
        <v>0.54500000000000004</v>
      </c>
      <c r="H741" s="6">
        <v>716.48199999999997</v>
      </c>
      <c r="I741" s="6">
        <v>861.93</v>
      </c>
      <c r="J741" s="6">
        <v>0</v>
      </c>
      <c r="K741" s="6">
        <v>145.44800000000001</v>
      </c>
      <c r="L741" s="6">
        <v>0</v>
      </c>
      <c r="M741" s="6">
        <v>16.048999999999999</v>
      </c>
      <c r="N741">
        <v>1.788</v>
      </c>
    </row>
    <row r="742" spans="1:14">
      <c r="A742">
        <v>8811</v>
      </c>
      <c r="B742" t="s">
        <v>572</v>
      </c>
      <c r="C742" s="7">
        <v>42338</v>
      </c>
      <c r="D742" s="5">
        <v>30</v>
      </c>
      <c r="E742" s="12">
        <v>57.445999999999998</v>
      </c>
      <c r="F742" s="6">
        <v>0.45500000000000002</v>
      </c>
      <c r="G742" s="6">
        <v>0.36599999999999999</v>
      </c>
      <c r="H742" s="6">
        <v>480.65600000000001</v>
      </c>
      <c r="I742" s="6">
        <v>613.13</v>
      </c>
      <c r="J742" s="6">
        <v>0</v>
      </c>
      <c r="K742" s="6">
        <v>132.47399999999999</v>
      </c>
      <c r="L742" s="6">
        <v>0</v>
      </c>
      <c r="M742" s="6">
        <v>57.356999999999999</v>
      </c>
      <c r="N742">
        <v>1.1990000000000001</v>
      </c>
    </row>
    <row r="743" spans="1:14">
      <c r="A743">
        <v>8943</v>
      </c>
      <c r="B743" t="s">
        <v>573</v>
      </c>
      <c r="C743" s="7">
        <v>42338</v>
      </c>
      <c r="D743" s="5">
        <v>30</v>
      </c>
      <c r="E743" s="12">
        <v>86.207999999999998</v>
      </c>
      <c r="F743" s="6">
        <v>3.5550000000000002</v>
      </c>
      <c r="G743" s="6">
        <v>13.688000000000001</v>
      </c>
      <c r="H743" s="6">
        <v>4161.4560000000001</v>
      </c>
      <c r="I743" s="6">
        <v>4674.41</v>
      </c>
      <c r="J743" s="6">
        <v>2.14</v>
      </c>
      <c r="K743" s="6">
        <v>510.81400000000002</v>
      </c>
      <c r="L743" s="6">
        <v>0</v>
      </c>
      <c r="M743" s="6">
        <v>96.340999999999994</v>
      </c>
      <c r="N743">
        <v>147.43600000000001</v>
      </c>
    </row>
    <row r="744" spans="1:14">
      <c r="A744">
        <v>9048</v>
      </c>
      <c r="B744" t="s">
        <v>574</v>
      </c>
      <c r="C744" s="7">
        <v>42338</v>
      </c>
      <c r="D744" s="5">
        <v>30</v>
      </c>
      <c r="E744" s="12">
        <v>22.856999999999999</v>
      </c>
      <c r="F744" s="6">
        <v>1.647</v>
      </c>
      <c r="G744" s="6">
        <v>5.8890000000000002</v>
      </c>
      <c r="H744" s="6">
        <v>2008.691</v>
      </c>
      <c r="I744" s="6">
        <v>2331.96</v>
      </c>
      <c r="J744" s="6">
        <v>0.89</v>
      </c>
      <c r="K744" s="6">
        <v>322.37900000000002</v>
      </c>
      <c r="L744" s="6">
        <v>0</v>
      </c>
      <c r="M744" s="6">
        <v>27.099</v>
      </c>
      <c r="N744">
        <v>46.091999999999999</v>
      </c>
    </row>
    <row r="745" spans="1:14">
      <c r="A745">
        <v>8998</v>
      </c>
      <c r="B745" t="s">
        <v>575</v>
      </c>
      <c r="C745" s="7">
        <v>42338</v>
      </c>
      <c r="D745" s="5">
        <v>30</v>
      </c>
      <c r="E745" s="12">
        <v>21.417999999999999</v>
      </c>
      <c r="F745" s="6">
        <v>1.5580000000000001</v>
      </c>
      <c r="G745" s="6">
        <v>5.39</v>
      </c>
      <c r="H745" s="6">
        <v>1838.4570000000001</v>
      </c>
      <c r="I745" s="6">
        <v>2222.2800000000002</v>
      </c>
      <c r="J745" s="6">
        <v>0.81</v>
      </c>
      <c r="K745" s="6">
        <v>383.01299999999998</v>
      </c>
      <c r="L745" s="6">
        <v>0</v>
      </c>
      <c r="M745" s="6">
        <v>25.25</v>
      </c>
      <c r="N745">
        <v>42.185000000000002</v>
      </c>
    </row>
    <row r="746" spans="1:14">
      <c r="A746">
        <v>8990</v>
      </c>
      <c r="B746" t="s">
        <v>576</v>
      </c>
      <c r="C746" s="7">
        <v>42338</v>
      </c>
      <c r="D746" s="5">
        <v>30</v>
      </c>
      <c r="E746" s="12">
        <v>30.942</v>
      </c>
      <c r="F746" s="6">
        <v>1.044</v>
      </c>
      <c r="G746" s="6">
        <v>1.079</v>
      </c>
      <c r="H746" s="6">
        <v>1184.912</v>
      </c>
      <c r="I746" s="6">
        <v>1462.01</v>
      </c>
      <c r="J746" s="6">
        <v>0.04</v>
      </c>
      <c r="K746" s="6">
        <v>277.05799999999999</v>
      </c>
      <c r="L746" s="6">
        <v>0</v>
      </c>
      <c r="M746" s="6">
        <v>30.977</v>
      </c>
      <c r="N746">
        <v>38.506999999999998</v>
      </c>
    </row>
    <row r="747" spans="1:14">
      <c r="A747">
        <v>8991</v>
      </c>
      <c r="B747" t="s">
        <v>577</v>
      </c>
      <c r="C747" s="7">
        <v>42338</v>
      </c>
      <c r="D747" s="5">
        <v>30</v>
      </c>
      <c r="E747" s="12">
        <v>67.622</v>
      </c>
      <c r="F747" s="6">
        <v>1.9390000000000001</v>
      </c>
      <c r="G747" s="6">
        <v>3.68</v>
      </c>
      <c r="H747" s="6">
        <v>2210.0149999999999</v>
      </c>
      <c r="I747" s="6">
        <v>2442.08</v>
      </c>
      <c r="J747" s="6">
        <v>0.41</v>
      </c>
      <c r="K747" s="6">
        <v>231.655</v>
      </c>
      <c r="L747" s="6">
        <v>0</v>
      </c>
      <c r="M747" s="6">
        <v>69.363</v>
      </c>
      <c r="N747">
        <v>54.642000000000003</v>
      </c>
    </row>
    <row r="748" spans="1:14">
      <c r="A748">
        <v>9047</v>
      </c>
      <c r="B748" t="s">
        <v>578</v>
      </c>
      <c r="C748" s="7">
        <v>42338</v>
      </c>
      <c r="D748" s="5">
        <v>30</v>
      </c>
      <c r="E748" s="12">
        <v>43.143999999999998</v>
      </c>
      <c r="F748" s="6">
        <v>1.2470000000000001</v>
      </c>
      <c r="G748" s="6">
        <v>2.4380000000000002</v>
      </c>
      <c r="H748" s="6">
        <v>1464.0540000000001</v>
      </c>
      <c r="I748" s="6">
        <v>1650.9</v>
      </c>
      <c r="J748" s="6">
        <v>0.27</v>
      </c>
      <c r="K748" s="6">
        <v>186.57599999999999</v>
      </c>
      <c r="L748" s="6">
        <v>0</v>
      </c>
      <c r="M748" s="6">
        <v>44.335000000000001</v>
      </c>
      <c r="N748">
        <v>36.197000000000003</v>
      </c>
    </row>
    <row r="749" spans="1:14">
      <c r="A749">
        <v>8989</v>
      </c>
      <c r="B749" t="s">
        <v>579</v>
      </c>
      <c r="C749" s="7">
        <v>42338</v>
      </c>
      <c r="D749" s="5">
        <v>30</v>
      </c>
      <c r="E749" s="12">
        <v>29.111999999999998</v>
      </c>
      <c r="F749" s="6">
        <v>1.2130000000000001</v>
      </c>
      <c r="G749" s="6">
        <v>1.391</v>
      </c>
      <c r="H749" s="6">
        <v>1526.2339999999999</v>
      </c>
      <c r="I749" s="6">
        <v>1716.28</v>
      </c>
      <c r="J749" s="6">
        <v>0.05</v>
      </c>
      <c r="K749" s="6">
        <v>189.99600000000001</v>
      </c>
      <c r="L749" s="6">
        <v>0</v>
      </c>
      <c r="M749" s="6">
        <v>29.29</v>
      </c>
      <c r="N749">
        <v>49.598999999999997</v>
      </c>
    </row>
    <row r="750" spans="1:14">
      <c r="A750">
        <v>8997</v>
      </c>
      <c r="B750" t="s">
        <v>580</v>
      </c>
      <c r="C750" s="7">
        <v>42338</v>
      </c>
      <c r="D750" s="5">
        <v>30</v>
      </c>
      <c r="E750" s="12">
        <v>17.047999999999998</v>
      </c>
      <c r="F750" s="6">
        <v>2.2749999999999999</v>
      </c>
      <c r="G750" s="6">
        <v>1.9259999999999999</v>
      </c>
      <c r="H750" s="6">
        <v>2526.8820000000001</v>
      </c>
      <c r="I750" s="6">
        <v>2812.13</v>
      </c>
      <c r="J750" s="6">
        <v>0</v>
      </c>
      <c r="K750" s="6">
        <v>285.24799999999999</v>
      </c>
      <c r="L750" s="6">
        <v>0</v>
      </c>
      <c r="M750" s="6">
        <v>16.699000000000002</v>
      </c>
      <c r="N750">
        <v>74.772000000000006</v>
      </c>
    </row>
    <row r="751" spans="1:14">
      <c r="A751">
        <v>8996</v>
      </c>
      <c r="B751" t="s">
        <v>581</v>
      </c>
      <c r="C751" s="7">
        <v>42338</v>
      </c>
      <c r="D751" s="5">
        <v>30</v>
      </c>
      <c r="E751" s="12">
        <v>15.422000000000001</v>
      </c>
      <c r="F751" s="6">
        <v>1.839</v>
      </c>
      <c r="G751" s="6">
        <v>1.4950000000000001</v>
      </c>
      <c r="H751" s="6">
        <v>1959.0229999999999</v>
      </c>
      <c r="I751" s="6">
        <v>2207.83</v>
      </c>
      <c r="J751" s="6">
        <v>0</v>
      </c>
      <c r="K751" s="6">
        <v>248.80699999999999</v>
      </c>
      <c r="L751" s="6">
        <v>0</v>
      </c>
      <c r="M751" s="6">
        <v>15.077999999999999</v>
      </c>
      <c r="N751">
        <v>57.968000000000004</v>
      </c>
    </row>
    <row r="752" spans="1:14">
      <c r="A752">
        <v>8999</v>
      </c>
      <c r="B752" t="s">
        <v>582</v>
      </c>
      <c r="C752" s="7">
        <v>42338</v>
      </c>
      <c r="D752" s="5">
        <v>30</v>
      </c>
      <c r="E752" s="12">
        <v>24.54</v>
      </c>
      <c r="F752" s="6">
        <v>0.82</v>
      </c>
      <c r="G752" s="6">
        <v>0.66300000000000003</v>
      </c>
      <c r="H752" s="6">
        <v>871.45600000000002</v>
      </c>
      <c r="I752" s="6">
        <v>1025.43</v>
      </c>
      <c r="J752" s="6">
        <v>0</v>
      </c>
      <c r="K752" s="6">
        <v>153.97399999999999</v>
      </c>
      <c r="L752" s="6">
        <v>0</v>
      </c>
      <c r="M752" s="6">
        <v>24.382999999999999</v>
      </c>
      <c r="N752">
        <v>2.1749999999999998</v>
      </c>
    </row>
    <row r="753" spans="1:14">
      <c r="A753">
        <v>9076</v>
      </c>
      <c r="B753" t="s">
        <v>583</v>
      </c>
      <c r="C753" s="7">
        <v>42338</v>
      </c>
      <c r="D753" s="5">
        <v>30</v>
      </c>
      <c r="E753" s="12">
        <v>42.639000000000003</v>
      </c>
      <c r="F753" s="6">
        <v>1.996</v>
      </c>
      <c r="G753" s="6">
        <v>10.156000000000001</v>
      </c>
      <c r="H753" s="6">
        <v>2346.6959999999999</v>
      </c>
      <c r="I753" s="6">
        <v>2618.5300000000002</v>
      </c>
      <c r="J753" s="6">
        <v>1.7</v>
      </c>
      <c r="K753" s="6">
        <v>270.13400000000001</v>
      </c>
      <c r="L753" s="6">
        <v>0</v>
      </c>
      <c r="M753" s="6">
        <v>50.798999999999999</v>
      </c>
      <c r="N753">
        <v>32.576000000000001</v>
      </c>
    </row>
    <row r="754" spans="1:14">
      <c r="A754">
        <v>9075</v>
      </c>
      <c r="B754" t="s">
        <v>584</v>
      </c>
      <c r="C754" s="7">
        <v>42338</v>
      </c>
      <c r="D754" s="5">
        <v>30</v>
      </c>
      <c r="E754" s="12">
        <v>108.46299999999999</v>
      </c>
      <c r="F754" s="6">
        <v>3.6280000000000001</v>
      </c>
      <c r="G754" s="6">
        <v>15.624000000000001</v>
      </c>
      <c r="H754" s="6">
        <v>5161.7259999999997</v>
      </c>
      <c r="I754" s="6">
        <v>5589.1</v>
      </c>
      <c r="J754" s="6">
        <v>2.37</v>
      </c>
      <c r="K754" s="6">
        <v>425.00400000000002</v>
      </c>
      <c r="L754" s="6">
        <v>0</v>
      </c>
      <c r="M754" s="6">
        <v>120.459</v>
      </c>
      <c r="N754">
        <v>167.88200000000001</v>
      </c>
    </row>
    <row r="755" spans="1:14">
      <c r="A755">
        <v>9022</v>
      </c>
      <c r="B755" t="s">
        <v>585</v>
      </c>
      <c r="C755" s="7">
        <v>42338</v>
      </c>
      <c r="D755" s="5">
        <v>30</v>
      </c>
      <c r="E755" s="12">
        <v>55.192</v>
      </c>
      <c r="F755" s="6">
        <v>1.633</v>
      </c>
      <c r="G755" s="6">
        <v>1.2030000000000001</v>
      </c>
      <c r="H755" s="6">
        <v>1581.115</v>
      </c>
      <c r="I755" s="6">
        <v>1809.13</v>
      </c>
      <c r="J755" s="6">
        <v>0</v>
      </c>
      <c r="K755" s="6">
        <v>228.01499999999999</v>
      </c>
      <c r="L755" s="6">
        <v>0</v>
      </c>
      <c r="M755" s="6">
        <v>54.762</v>
      </c>
      <c r="N755">
        <v>3.9460000000000002</v>
      </c>
    </row>
    <row r="756" spans="1:14">
      <c r="A756">
        <v>8859</v>
      </c>
      <c r="B756" t="s">
        <v>586</v>
      </c>
      <c r="C756" s="7">
        <v>42338</v>
      </c>
      <c r="D756" s="5">
        <v>30</v>
      </c>
      <c r="E756" s="12">
        <v>11.18</v>
      </c>
      <c r="F756" s="6">
        <v>1.2</v>
      </c>
      <c r="G756" s="6">
        <v>1.0589999999999999</v>
      </c>
      <c r="H756" s="6">
        <v>1355.146</v>
      </c>
      <c r="I756" s="6">
        <v>1535.74</v>
      </c>
      <c r="J756" s="6">
        <v>0.01</v>
      </c>
      <c r="K756" s="6">
        <v>180.584</v>
      </c>
      <c r="L756" s="6">
        <v>0</v>
      </c>
      <c r="M756" s="6">
        <v>11.039</v>
      </c>
      <c r="N756">
        <v>6.9119999999999999</v>
      </c>
    </row>
    <row r="757" spans="1:14">
      <c r="A757">
        <v>9018</v>
      </c>
      <c r="B757" t="s">
        <v>587</v>
      </c>
      <c r="C757" s="7">
        <v>42338</v>
      </c>
      <c r="D757" s="5">
        <v>9</v>
      </c>
      <c r="E757" s="12">
        <v>24.082000000000001</v>
      </c>
      <c r="F757" s="6">
        <v>2.5299999999999998</v>
      </c>
      <c r="G757" s="6">
        <v>0.33700000000000002</v>
      </c>
      <c r="H757" s="6">
        <v>442.83699999999999</v>
      </c>
      <c r="I757" s="6">
        <v>619.36</v>
      </c>
      <c r="J757" s="6">
        <v>46.13</v>
      </c>
      <c r="K757" s="6">
        <v>130.393</v>
      </c>
      <c r="L757" s="6">
        <v>46.13</v>
      </c>
      <c r="M757" s="6">
        <v>21.888999999999999</v>
      </c>
      <c r="N757">
        <v>1.105</v>
      </c>
    </row>
    <row r="758" spans="1:14">
      <c r="A758">
        <v>9023</v>
      </c>
      <c r="B758" t="s">
        <v>588</v>
      </c>
      <c r="C758" s="7">
        <v>42338</v>
      </c>
      <c r="D758" s="5">
        <v>30</v>
      </c>
      <c r="E758" s="12">
        <v>30.706</v>
      </c>
      <c r="F758" s="6">
        <v>1.696</v>
      </c>
      <c r="G758" s="6">
        <v>1.403</v>
      </c>
      <c r="H758" s="6">
        <v>1843.67</v>
      </c>
      <c r="I758" s="6">
        <v>2086.13</v>
      </c>
      <c r="J758" s="6">
        <v>0</v>
      </c>
      <c r="K758" s="6">
        <v>242.46</v>
      </c>
      <c r="L758" s="6">
        <v>0</v>
      </c>
      <c r="M758" s="6">
        <v>30.413</v>
      </c>
      <c r="N758">
        <v>4.6020000000000003</v>
      </c>
    </row>
    <row r="759" spans="1:14">
      <c r="A759">
        <v>9019</v>
      </c>
      <c r="B759" t="s">
        <v>589</v>
      </c>
      <c r="C759" s="7">
        <v>42338</v>
      </c>
      <c r="D759" s="5">
        <v>30</v>
      </c>
      <c r="E759" s="12">
        <v>26.247</v>
      </c>
      <c r="F759" s="6">
        <v>1.619</v>
      </c>
      <c r="G759" s="6">
        <v>1.8620000000000001</v>
      </c>
      <c r="H759" s="6">
        <v>2446.7890000000002</v>
      </c>
      <c r="I759" s="6">
        <v>2722.43</v>
      </c>
      <c r="J759" s="6">
        <v>0</v>
      </c>
      <c r="K759" s="6">
        <v>275.64100000000002</v>
      </c>
      <c r="L759" s="6">
        <v>0</v>
      </c>
      <c r="M759" s="6">
        <v>26.49</v>
      </c>
      <c r="N759">
        <v>6.1059999999999999</v>
      </c>
    </row>
    <row r="760" spans="1:14">
      <c r="A760">
        <v>9020</v>
      </c>
      <c r="B760" t="s">
        <v>590</v>
      </c>
      <c r="C760" s="7">
        <v>42338</v>
      </c>
      <c r="D760" s="5">
        <v>26</v>
      </c>
      <c r="E760" s="12">
        <v>41.45</v>
      </c>
      <c r="F760" s="6">
        <v>1.738</v>
      </c>
      <c r="G760" s="6">
        <v>1.913</v>
      </c>
      <c r="H760" s="6">
        <v>2513.8969999999999</v>
      </c>
      <c r="I760" s="6">
        <v>2836.96</v>
      </c>
      <c r="J760" s="6">
        <v>78.73</v>
      </c>
      <c r="K760" s="6">
        <v>244.333</v>
      </c>
      <c r="L760" s="6">
        <v>78.73</v>
      </c>
      <c r="M760" s="6">
        <v>41.625</v>
      </c>
      <c r="N760">
        <v>6.2750000000000004</v>
      </c>
    </row>
    <row r="761" spans="1:14">
      <c r="A761">
        <v>9021</v>
      </c>
      <c r="B761" t="s">
        <v>591</v>
      </c>
      <c r="C761" s="7">
        <v>42338</v>
      </c>
      <c r="D761" s="5">
        <v>30</v>
      </c>
      <c r="E761" s="12">
        <v>24.911000000000001</v>
      </c>
      <c r="F761" s="6">
        <v>1.823</v>
      </c>
      <c r="G761" s="6">
        <v>1.55</v>
      </c>
      <c r="H761" s="6">
        <v>2035.42</v>
      </c>
      <c r="I761" s="6">
        <v>2288.4299999999998</v>
      </c>
      <c r="J761" s="6">
        <v>0</v>
      </c>
      <c r="K761" s="6">
        <v>253.01</v>
      </c>
      <c r="L761" s="6">
        <v>0</v>
      </c>
      <c r="M761" s="6">
        <v>24.638000000000002</v>
      </c>
      <c r="N761">
        <v>5.08</v>
      </c>
    </row>
    <row r="762" spans="1:14">
      <c r="A762">
        <v>9016</v>
      </c>
      <c r="B762" t="s">
        <v>592</v>
      </c>
      <c r="C762" s="7">
        <v>42338</v>
      </c>
      <c r="D762" s="5">
        <v>30</v>
      </c>
      <c r="E762" s="12">
        <v>34.634999999999998</v>
      </c>
      <c r="F762" s="6">
        <v>1.6379999999999999</v>
      </c>
      <c r="G762" s="6">
        <v>4.6550000000000002</v>
      </c>
      <c r="H762" s="6">
        <v>2244.8969999999999</v>
      </c>
      <c r="I762" s="6">
        <v>2475.0300000000002</v>
      </c>
      <c r="J762" s="6">
        <v>0.6</v>
      </c>
      <c r="K762" s="6">
        <v>229.53299999999999</v>
      </c>
      <c r="L762" s="6">
        <v>0</v>
      </c>
      <c r="M762" s="6">
        <v>37.652000000000001</v>
      </c>
      <c r="N762">
        <v>33.704000000000001</v>
      </c>
    </row>
    <row r="763" spans="1:14">
      <c r="A763">
        <v>9024</v>
      </c>
      <c r="B763" t="s">
        <v>593</v>
      </c>
      <c r="C763" s="7">
        <v>42338</v>
      </c>
      <c r="D763" s="5">
        <v>30</v>
      </c>
      <c r="E763" s="12">
        <v>25.126999999999999</v>
      </c>
      <c r="F763" s="6">
        <v>2.867</v>
      </c>
      <c r="G763" s="6">
        <v>2.609</v>
      </c>
      <c r="H763" s="6">
        <v>3427.248</v>
      </c>
      <c r="I763" s="6">
        <v>3721.83</v>
      </c>
      <c r="J763" s="6">
        <v>0</v>
      </c>
      <c r="K763" s="6">
        <v>294.58199999999999</v>
      </c>
      <c r="L763" s="6">
        <v>0</v>
      </c>
      <c r="M763" s="6">
        <v>24.869</v>
      </c>
      <c r="N763">
        <v>8.5540000000000003</v>
      </c>
    </row>
    <row r="764" spans="1:14">
      <c r="A764">
        <v>9025</v>
      </c>
      <c r="B764" t="s">
        <v>594</v>
      </c>
      <c r="C764" s="7">
        <v>42338</v>
      </c>
      <c r="D764" s="5">
        <v>30</v>
      </c>
      <c r="E764" s="12">
        <v>70.194999999999993</v>
      </c>
      <c r="F764" s="6">
        <v>3.1309999999999998</v>
      </c>
      <c r="G764" s="6">
        <v>8.5440000000000005</v>
      </c>
      <c r="H764" s="6">
        <v>4120.2240000000002</v>
      </c>
      <c r="I764" s="6">
        <v>4454.03</v>
      </c>
      <c r="J764" s="6">
        <v>1.1000000000000001</v>
      </c>
      <c r="K764" s="6">
        <v>332.70600000000002</v>
      </c>
      <c r="L764" s="6">
        <v>0</v>
      </c>
      <c r="M764" s="6">
        <v>75.608000000000004</v>
      </c>
      <c r="N764">
        <v>61.859000000000002</v>
      </c>
    </row>
    <row r="765" spans="1:14">
      <c r="A765">
        <v>9026</v>
      </c>
      <c r="B765" t="s">
        <v>595</v>
      </c>
      <c r="C765" s="7">
        <v>42338</v>
      </c>
      <c r="D765" s="5">
        <v>30</v>
      </c>
      <c r="E765" s="12">
        <v>24.869</v>
      </c>
      <c r="F765" s="6">
        <v>1.7929999999999999</v>
      </c>
      <c r="G765" s="6">
        <v>1.6040000000000001</v>
      </c>
      <c r="H765" s="6">
        <v>2107.5520000000001</v>
      </c>
      <c r="I765" s="6">
        <v>2364.5300000000002</v>
      </c>
      <c r="J765" s="6">
        <v>0</v>
      </c>
      <c r="K765" s="6">
        <v>256.97800000000001</v>
      </c>
      <c r="L765" s="6">
        <v>0</v>
      </c>
      <c r="M765" s="6">
        <v>24.68</v>
      </c>
      <c r="N765">
        <v>5.2610000000000001</v>
      </c>
    </row>
    <row r="766" spans="1:14">
      <c r="A766">
        <v>8821</v>
      </c>
      <c r="B766" t="s">
        <v>596</v>
      </c>
      <c r="C766" s="7">
        <v>42338</v>
      </c>
      <c r="D766" s="5">
        <v>30</v>
      </c>
      <c r="E766" s="12">
        <v>74.975999999999999</v>
      </c>
      <c r="F766" s="6">
        <v>1.04</v>
      </c>
      <c r="G766" s="6">
        <v>1.3260000000000001</v>
      </c>
      <c r="H766" s="6">
        <v>1211.8309999999999</v>
      </c>
      <c r="I766" s="6">
        <v>1419.61</v>
      </c>
      <c r="J766" s="6">
        <v>0.08</v>
      </c>
      <c r="K766" s="6">
        <v>207.69900000000001</v>
      </c>
      <c r="L766" s="6">
        <v>0</v>
      </c>
      <c r="M766" s="6">
        <v>75.262</v>
      </c>
      <c r="N766">
        <v>7.6360000000000001</v>
      </c>
    </row>
    <row r="767" spans="1:14">
      <c r="A767">
        <v>8955</v>
      </c>
      <c r="B767" t="s">
        <v>597</v>
      </c>
      <c r="C767" s="7">
        <v>42338</v>
      </c>
      <c r="D767" s="5">
        <v>30</v>
      </c>
      <c r="E767" s="12">
        <v>35.628999999999998</v>
      </c>
      <c r="F767" s="6">
        <v>1.56</v>
      </c>
      <c r="G767" s="6">
        <v>5.9450000000000003</v>
      </c>
      <c r="H767" s="6">
        <v>1807.367</v>
      </c>
      <c r="I767" s="6">
        <v>2013.76</v>
      </c>
      <c r="J767" s="6">
        <v>0.93</v>
      </c>
      <c r="K767" s="6">
        <v>205.46299999999999</v>
      </c>
      <c r="L767" s="6">
        <v>0</v>
      </c>
      <c r="M767" s="6">
        <v>40.014000000000003</v>
      </c>
      <c r="N767">
        <v>64.034000000000006</v>
      </c>
    </row>
    <row r="768" spans="1:14">
      <c r="A768">
        <v>8819</v>
      </c>
      <c r="B768" t="s">
        <v>598</v>
      </c>
      <c r="C768" s="7">
        <v>42338</v>
      </c>
      <c r="D768" s="5">
        <v>30</v>
      </c>
      <c r="E768" s="12">
        <v>15.621</v>
      </c>
      <c r="F768" s="6">
        <v>1.98</v>
      </c>
      <c r="G768" s="6">
        <v>1.7829999999999999</v>
      </c>
      <c r="H768" s="6">
        <v>2342.9989999999998</v>
      </c>
      <c r="I768" s="6">
        <v>2612.9299999999998</v>
      </c>
      <c r="J768" s="6">
        <v>0</v>
      </c>
      <c r="K768" s="6">
        <v>269.93099999999998</v>
      </c>
      <c r="L768" s="6">
        <v>0</v>
      </c>
      <c r="M768" s="6">
        <v>15.423999999999999</v>
      </c>
      <c r="N768">
        <v>53.526000000000003</v>
      </c>
    </row>
    <row r="769" spans="1:14">
      <c r="A769">
        <v>9017</v>
      </c>
      <c r="B769" t="s">
        <v>599</v>
      </c>
      <c r="C769" s="7">
        <v>42338</v>
      </c>
      <c r="D769" s="5">
        <v>30</v>
      </c>
      <c r="E769" s="12">
        <v>14.385999999999999</v>
      </c>
      <c r="F769" s="6">
        <v>1.82</v>
      </c>
      <c r="G769" s="6">
        <v>1.6359999999999999</v>
      </c>
      <c r="H769" s="6">
        <v>2148.973</v>
      </c>
      <c r="I769" s="6">
        <v>2549.0700000000002</v>
      </c>
      <c r="J769" s="6">
        <v>0</v>
      </c>
      <c r="K769" s="6">
        <v>400.09699999999998</v>
      </c>
      <c r="L769" s="6">
        <v>0</v>
      </c>
      <c r="M769" s="6">
        <v>14.202</v>
      </c>
      <c r="N769">
        <v>49.093000000000004</v>
      </c>
    </row>
    <row r="770" spans="1:14">
      <c r="A770">
        <v>9229</v>
      </c>
      <c r="B770" t="s">
        <v>600</v>
      </c>
      <c r="C770" s="7">
        <v>42338</v>
      </c>
      <c r="D770" s="5">
        <v>30</v>
      </c>
      <c r="E770" s="12">
        <v>12.082000000000001</v>
      </c>
      <c r="F770" s="6">
        <v>2.093</v>
      </c>
      <c r="G770" s="6">
        <v>14.368</v>
      </c>
      <c r="H770" s="6">
        <v>3775.3380000000002</v>
      </c>
      <c r="I770" s="6">
        <v>4109.99</v>
      </c>
      <c r="J770" s="6">
        <v>28.66</v>
      </c>
      <c r="K770" s="6">
        <v>305.99200000000002</v>
      </c>
      <c r="L770" s="6">
        <v>26.19</v>
      </c>
      <c r="M770" s="6">
        <v>24.356999999999999</v>
      </c>
      <c r="N770">
        <v>207.36799999999999</v>
      </c>
    </row>
    <row r="771" spans="1:14">
      <c r="A771">
        <v>9230</v>
      </c>
      <c r="B771" t="s">
        <v>601</v>
      </c>
      <c r="C771" s="7">
        <v>42338</v>
      </c>
      <c r="D771" s="5">
        <v>30</v>
      </c>
      <c r="E771" s="12">
        <v>8.4920000000000009</v>
      </c>
      <c r="F771" s="6">
        <v>1.4770000000000001</v>
      </c>
      <c r="G771" s="6">
        <v>11.217000000000001</v>
      </c>
      <c r="H771" s="6">
        <v>2947.201</v>
      </c>
      <c r="I771" s="6">
        <v>3246.26</v>
      </c>
      <c r="J771" s="6">
        <v>1.93</v>
      </c>
      <c r="K771" s="6">
        <v>297.12900000000002</v>
      </c>
      <c r="L771" s="6">
        <v>0</v>
      </c>
      <c r="M771" s="6">
        <v>18.231999999999999</v>
      </c>
      <c r="N771">
        <v>161.88200000000001</v>
      </c>
    </row>
    <row r="772" spans="1:14">
      <c r="A772">
        <v>9231</v>
      </c>
      <c r="B772" t="s">
        <v>602</v>
      </c>
      <c r="C772" s="7">
        <v>42338</v>
      </c>
      <c r="D772" s="5">
        <v>30</v>
      </c>
      <c r="E772" s="12">
        <v>14.635999999999999</v>
      </c>
      <c r="F772" s="6">
        <v>1.1240000000000001</v>
      </c>
      <c r="G772" s="6">
        <v>1.3340000000000001</v>
      </c>
      <c r="H772" s="6">
        <v>2283.741</v>
      </c>
      <c r="I772" s="6">
        <v>2510.73</v>
      </c>
      <c r="J772" s="6">
        <v>0</v>
      </c>
      <c r="K772" s="6">
        <v>226.989</v>
      </c>
      <c r="L772" s="6">
        <v>0</v>
      </c>
      <c r="M772" s="6">
        <v>14.846</v>
      </c>
      <c r="N772">
        <v>9.2469999999999999</v>
      </c>
    </row>
    <row r="773" spans="1:14">
      <c r="A773">
        <v>9228</v>
      </c>
      <c r="B773" t="s">
        <v>603</v>
      </c>
      <c r="C773" s="7">
        <v>42338</v>
      </c>
      <c r="D773" s="5">
        <v>30</v>
      </c>
      <c r="E773" s="12">
        <v>21.478999999999999</v>
      </c>
      <c r="F773" s="6">
        <v>2.06</v>
      </c>
      <c r="G773" s="6">
        <v>14.363</v>
      </c>
      <c r="H773" s="6">
        <v>4180.1949999999997</v>
      </c>
      <c r="I773" s="6">
        <v>4510.05</v>
      </c>
      <c r="J773" s="6">
        <v>2.42</v>
      </c>
      <c r="K773" s="6">
        <v>327.435</v>
      </c>
      <c r="L773" s="6">
        <v>0</v>
      </c>
      <c r="M773" s="6">
        <v>33.781999999999996</v>
      </c>
      <c r="N773">
        <v>124.208</v>
      </c>
    </row>
    <row r="774" spans="1:14">
      <c r="A774">
        <v>9227</v>
      </c>
      <c r="B774" t="s">
        <v>604</v>
      </c>
      <c r="C774" s="7">
        <v>42338</v>
      </c>
      <c r="D774" s="5">
        <v>0</v>
      </c>
      <c r="E774" s="12">
        <v>0.90300000000000002</v>
      </c>
      <c r="F774" s="6">
        <v>0.13100000000000001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0.77200000000000002</v>
      </c>
      <c r="N774">
        <v>0</v>
      </c>
    </row>
    <row r="775" spans="1:14">
      <c r="A775">
        <v>9232</v>
      </c>
      <c r="B775" t="s">
        <v>605</v>
      </c>
      <c r="C775" s="7">
        <v>42338</v>
      </c>
      <c r="D775" s="5">
        <v>30</v>
      </c>
      <c r="E775" s="12">
        <v>22.067</v>
      </c>
      <c r="F775" s="6">
        <v>1.67</v>
      </c>
      <c r="G775" s="6">
        <v>1.9670000000000001</v>
      </c>
      <c r="H775" s="6">
        <v>3367.442</v>
      </c>
      <c r="I775" s="6">
        <v>3764.6</v>
      </c>
      <c r="J775" s="6">
        <v>0</v>
      </c>
      <c r="K775" s="6">
        <v>397.15800000000002</v>
      </c>
      <c r="L775" s="6">
        <v>0</v>
      </c>
      <c r="M775" s="6">
        <v>22.364000000000001</v>
      </c>
      <c r="N775">
        <v>13.635</v>
      </c>
    </row>
    <row r="776" spans="1:14">
      <c r="A776">
        <v>9226</v>
      </c>
      <c r="B776" t="s">
        <v>787</v>
      </c>
      <c r="C776" s="7">
        <v>42338</v>
      </c>
      <c r="D776" s="5">
        <v>30</v>
      </c>
      <c r="E776" s="12">
        <v>11.968999999999999</v>
      </c>
      <c r="F776" s="6">
        <v>1.544</v>
      </c>
      <c r="G776" s="6">
        <v>11.234</v>
      </c>
      <c r="H776" s="6">
        <v>3269.3389999999999</v>
      </c>
      <c r="I776" s="6">
        <v>3656.26</v>
      </c>
      <c r="J776" s="6">
        <v>1.89</v>
      </c>
      <c r="K776" s="6">
        <v>385.03100000000001</v>
      </c>
      <c r="L776" s="6">
        <v>0</v>
      </c>
      <c r="M776" s="6">
        <v>21.658999999999999</v>
      </c>
      <c r="N776">
        <v>97.141999999999996</v>
      </c>
    </row>
    <row r="777" spans="1:14">
      <c r="A777">
        <v>9844</v>
      </c>
      <c r="B777" t="s">
        <v>14</v>
      </c>
      <c r="C777" s="7">
        <v>42338</v>
      </c>
      <c r="D777" s="5">
        <v>30</v>
      </c>
      <c r="E777" s="12">
        <v>230.286</v>
      </c>
      <c r="F777" s="6">
        <v>0.55400000000000005</v>
      </c>
      <c r="G777" s="6">
        <v>0.89600000000000002</v>
      </c>
      <c r="H777" s="6">
        <v>3084.6579999999999</v>
      </c>
      <c r="I777" s="6">
        <v>3507.32</v>
      </c>
      <c r="J777" s="6">
        <v>7.0000000000000007E-2</v>
      </c>
      <c r="K777" s="6">
        <v>422.59199999999998</v>
      </c>
      <c r="L777" s="6">
        <v>0</v>
      </c>
      <c r="M777" s="6">
        <v>230.62799999999999</v>
      </c>
      <c r="N777">
        <v>32.582000000000001</v>
      </c>
    </row>
    <row r="778" spans="1:14" s="20" customFormat="1">
      <c r="A778" s="20">
        <v>10194</v>
      </c>
      <c r="B778" s="20" t="s">
        <v>15</v>
      </c>
      <c r="C778" s="21">
        <v>42338</v>
      </c>
      <c r="D778" s="22">
        <v>30</v>
      </c>
      <c r="E778" s="23">
        <v>88.807000000000002</v>
      </c>
      <c r="F778" s="24">
        <v>0.40899999999999997</v>
      </c>
      <c r="G778" s="24">
        <v>5.4080000000000004</v>
      </c>
      <c r="H778" s="24">
        <v>2269.06</v>
      </c>
      <c r="I778" s="24">
        <v>2655.67</v>
      </c>
      <c r="J778" s="24">
        <v>1.02</v>
      </c>
      <c r="K778" s="24">
        <v>385.59</v>
      </c>
      <c r="L778" s="24">
        <v>0</v>
      </c>
      <c r="M778" s="24">
        <v>93.805999999999997</v>
      </c>
      <c r="N778" s="20">
        <v>194.27</v>
      </c>
    </row>
    <row r="779" spans="1:14" s="20" customFormat="1">
      <c r="A779" s="20">
        <v>10258</v>
      </c>
      <c r="B779" s="20" t="s">
        <v>16</v>
      </c>
      <c r="C779" s="21">
        <v>42338</v>
      </c>
      <c r="D779" s="22">
        <v>30</v>
      </c>
      <c r="E779" s="23">
        <v>40.274000000000001</v>
      </c>
      <c r="F779" s="24">
        <v>0.191</v>
      </c>
      <c r="G779" s="24">
        <v>0.182</v>
      </c>
      <c r="H779" s="24">
        <v>1047.7660000000001</v>
      </c>
      <c r="I779" s="24">
        <v>1377.95</v>
      </c>
      <c r="J779" s="24">
        <v>0</v>
      </c>
      <c r="K779" s="24">
        <v>330.18400000000003</v>
      </c>
      <c r="L779" s="24">
        <v>0</v>
      </c>
      <c r="M779" s="24">
        <v>40.265000000000001</v>
      </c>
      <c r="N779" s="20">
        <v>0.309</v>
      </c>
    </row>
    <row r="780" spans="1:14" s="20" customFormat="1">
      <c r="A780" s="20">
        <v>11172</v>
      </c>
      <c r="B780" s="20" t="s">
        <v>17</v>
      </c>
      <c r="C780" s="21">
        <v>42338</v>
      </c>
      <c r="D780" s="22">
        <v>30</v>
      </c>
      <c r="E780" s="23">
        <v>87.188999999999993</v>
      </c>
      <c r="F780" s="24">
        <v>0.36399999999999999</v>
      </c>
      <c r="G780" s="24">
        <v>3.3809999999999998</v>
      </c>
      <c r="H780" s="24">
        <v>2015.6559999999999</v>
      </c>
      <c r="I780" s="24">
        <v>2390.37</v>
      </c>
      <c r="J780" s="24">
        <v>0.62</v>
      </c>
      <c r="K780" s="24">
        <v>374.09399999999999</v>
      </c>
      <c r="L780" s="24">
        <v>0</v>
      </c>
      <c r="M780" s="24">
        <v>90.206000000000003</v>
      </c>
      <c r="N780" s="20">
        <v>55.926000000000002</v>
      </c>
    </row>
    <row r="781" spans="1:14" s="20" customFormat="1">
      <c r="A781" s="20">
        <v>11171</v>
      </c>
      <c r="B781" s="20" t="s">
        <v>18</v>
      </c>
      <c r="C781" s="21">
        <v>42338</v>
      </c>
      <c r="D781" s="22">
        <v>30</v>
      </c>
      <c r="E781" s="23">
        <v>26.968</v>
      </c>
      <c r="F781" s="24">
        <v>0.41499999999999998</v>
      </c>
      <c r="G781" s="24">
        <v>0.752</v>
      </c>
      <c r="H781" s="24">
        <v>2289.0529999999999</v>
      </c>
      <c r="I781" s="24">
        <v>2675.62</v>
      </c>
      <c r="J781" s="24">
        <v>7.0000000000000007E-2</v>
      </c>
      <c r="K781" s="24">
        <v>386.49700000000001</v>
      </c>
      <c r="L781" s="24">
        <v>0</v>
      </c>
      <c r="M781" s="24">
        <v>27.305</v>
      </c>
      <c r="N781" s="20">
        <v>124.253</v>
      </c>
    </row>
    <row r="782" spans="1:14" s="37" customFormat="1">
      <c r="A782" s="37">
        <v>9235</v>
      </c>
      <c r="B782" s="37" t="s">
        <v>606</v>
      </c>
      <c r="C782" s="38">
        <v>42338</v>
      </c>
      <c r="D782" s="39">
        <v>30</v>
      </c>
      <c r="E782" s="40">
        <v>42.847000000000001</v>
      </c>
      <c r="F782" s="41">
        <v>2.1269999999999998</v>
      </c>
      <c r="G782" s="41">
        <v>6.9260000000000002</v>
      </c>
      <c r="H782" s="41">
        <v>2617.402</v>
      </c>
      <c r="I782" s="41">
        <v>2868.43</v>
      </c>
      <c r="J782" s="41">
        <v>1</v>
      </c>
      <c r="K782" s="41">
        <v>250.02799999999999</v>
      </c>
      <c r="L782" s="41">
        <v>0</v>
      </c>
      <c r="M782" s="41">
        <v>47.646000000000001</v>
      </c>
      <c r="N782" s="37">
        <v>432.71899999999999</v>
      </c>
    </row>
    <row r="783" spans="1:14">
      <c r="A783">
        <v>8960</v>
      </c>
      <c r="B783" t="s">
        <v>607</v>
      </c>
      <c r="C783" s="7">
        <v>42338</v>
      </c>
      <c r="D783" s="5">
        <v>30</v>
      </c>
      <c r="E783" s="12">
        <v>23.33</v>
      </c>
      <c r="F783" s="6">
        <v>0.91100000000000003</v>
      </c>
      <c r="G783" s="6">
        <v>7.1189999999999998</v>
      </c>
      <c r="H783" s="6">
        <v>1079.1310000000001</v>
      </c>
      <c r="I783" s="6">
        <v>1245.81</v>
      </c>
      <c r="J783" s="6">
        <v>1.28</v>
      </c>
      <c r="K783" s="6">
        <v>165.399</v>
      </c>
      <c r="L783" s="6">
        <v>0</v>
      </c>
      <c r="M783" s="6">
        <v>29.538</v>
      </c>
      <c r="N783">
        <v>14.113</v>
      </c>
    </row>
    <row r="784" spans="1:14">
      <c r="A784">
        <v>8959</v>
      </c>
      <c r="B784" t="s">
        <v>608</v>
      </c>
      <c r="C784" s="7">
        <v>42338</v>
      </c>
      <c r="D784" s="5">
        <v>30</v>
      </c>
      <c r="E784" s="12">
        <v>41.38</v>
      </c>
      <c r="F784" s="6">
        <v>2.282</v>
      </c>
      <c r="G784" s="6">
        <v>13.7</v>
      </c>
      <c r="H784" s="6">
        <v>2618.35</v>
      </c>
      <c r="I784" s="6">
        <v>3046.65</v>
      </c>
      <c r="J784" s="6">
        <v>2.38</v>
      </c>
      <c r="K784" s="6">
        <v>425.92</v>
      </c>
      <c r="L784" s="6">
        <v>0</v>
      </c>
      <c r="M784" s="6">
        <v>52.798000000000002</v>
      </c>
      <c r="N784">
        <v>69.828000000000003</v>
      </c>
    </row>
    <row r="785" spans="1:14">
      <c r="A785">
        <v>8964</v>
      </c>
      <c r="B785" t="s">
        <v>609</v>
      </c>
      <c r="C785" s="7">
        <v>42338</v>
      </c>
      <c r="D785" s="5">
        <v>30</v>
      </c>
      <c r="E785" s="12">
        <v>17.263999999999999</v>
      </c>
      <c r="F785" s="6">
        <v>1.6950000000000001</v>
      </c>
      <c r="G785" s="6">
        <v>9.9019999999999992</v>
      </c>
      <c r="H785" s="6">
        <v>1997.6959999999999</v>
      </c>
      <c r="I785" s="6">
        <v>2215.33</v>
      </c>
      <c r="J785" s="6">
        <v>1.7</v>
      </c>
      <c r="K785" s="6">
        <v>215.934</v>
      </c>
      <c r="L785" s="6">
        <v>0</v>
      </c>
      <c r="M785" s="6">
        <v>25.471</v>
      </c>
      <c r="N785">
        <v>25.117000000000001</v>
      </c>
    </row>
    <row r="786" spans="1:14">
      <c r="A786">
        <v>9237</v>
      </c>
      <c r="B786" t="s">
        <v>610</v>
      </c>
      <c r="C786" s="7">
        <v>42338</v>
      </c>
      <c r="D786" s="5">
        <v>30</v>
      </c>
      <c r="E786" s="12">
        <v>51.414999999999999</v>
      </c>
      <c r="F786" s="6">
        <v>2.883</v>
      </c>
      <c r="G786" s="6">
        <v>10.499000000000001</v>
      </c>
      <c r="H786" s="6">
        <v>3240.4270000000001</v>
      </c>
      <c r="I786" s="6">
        <v>3637.97</v>
      </c>
      <c r="J786" s="6">
        <v>1.63</v>
      </c>
      <c r="K786" s="6">
        <v>395.91300000000001</v>
      </c>
      <c r="L786" s="6">
        <v>0</v>
      </c>
      <c r="M786" s="6">
        <v>59.030999999999999</v>
      </c>
      <c r="N786">
        <v>246.67699999999999</v>
      </c>
    </row>
    <row r="787" spans="1:14">
      <c r="A787">
        <v>9236</v>
      </c>
      <c r="B787" t="s">
        <v>611</v>
      </c>
      <c r="C787" s="7">
        <v>42338</v>
      </c>
      <c r="D787" s="5">
        <v>0</v>
      </c>
      <c r="E787" s="12">
        <v>7.9000000000000001E-2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7.9000000000000001E-2</v>
      </c>
      <c r="N787">
        <v>0</v>
      </c>
    </row>
    <row r="788" spans="1:14">
      <c r="A788">
        <v>9234</v>
      </c>
      <c r="B788" t="s">
        <v>612</v>
      </c>
      <c r="C788" s="7">
        <v>42338</v>
      </c>
      <c r="D788" s="5">
        <v>30</v>
      </c>
      <c r="E788" s="12">
        <v>28.353000000000002</v>
      </c>
      <c r="F788" s="6">
        <v>1.218</v>
      </c>
      <c r="G788" s="6">
        <v>1.089</v>
      </c>
      <c r="H788" s="6">
        <v>1430.2159999999999</v>
      </c>
      <c r="I788" s="6">
        <v>1790.77</v>
      </c>
      <c r="J788" s="6">
        <v>0</v>
      </c>
      <c r="K788" s="6">
        <v>360.55399999999997</v>
      </c>
      <c r="L788" s="6">
        <v>0</v>
      </c>
      <c r="M788" s="6">
        <v>28.224</v>
      </c>
      <c r="N788">
        <v>3.57</v>
      </c>
    </row>
    <row r="789" spans="1:14">
      <c r="A789">
        <v>9233</v>
      </c>
      <c r="B789" t="s">
        <v>613</v>
      </c>
      <c r="C789" s="7">
        <v>42338</v>
      </c>
      <c r="D789" s="5">
        <v>30</v>
      </c>
      <c r="E789" s="12">
        <v>20.853999999999999</v>
      </c>
      <c r="F789" s="6">
        <v>1.2529999999999999</v>
      </c>
      <c r="G789" s="6">
        <v>4.633</v>
      </c>
      <c r="H789" s="6">
        <v>1429.742</v>
      </c>
      <c r="I789" s="6">
        <v>1615.15</v>
      </c>
      <c r="J789" s="6">
        <v>0.72</v>
      </c>
      <c r="K789" s="6">
        <v>184.68799999999999</v>
      </c>
      <c r="L789" s="6">
        <v>0</v>
      </c>
      <c r="M789" s="6">
        <v>24.234000000000002</v>
      </c>
      <c r="N789">
        <v>108.84</v>
      </c>
    </row>
    <row r="790" spans="1:14">
      <c r="A790">
        <v>6105</v>
      </c>
      <c r="B790" t="s">
        <v>228</v>
      </c>
      <c r="C790" s="7">
        <v>42338</v>
      </c>
      <c r="D790" s="5">
        <v>30</v>
      </c>
      <c r="E790" s="12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>
        <v>20.872</v>
      </c>
    </row>
    <row r="791" spans="1:14">
      <c r="A791">
        <v>6316</v>
      </c>
      <c r="B791" t="s">
        <v>1041</v>
      </c>
      <c r="C791" s="7">
        <v>42338</v>
      </c>
      <c r="D791" s="5">
        <v>30</v>
      </c>
      <c r="E791" s="12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>
        <v>87.429000000000002</v>
      </c>
    </row>
    <row r="792" spans="1:14">
      <c r="A792">
        <v>6061</v>
      </c>
      <c r="B792" t="s">
        <v>1045</v>
      </c>
      <c r="C792" s="7">
        <v>42338</v>
      </c>
      <c r="D792" s="5">
        <v>30</v>
      </c>
      <c r="E792" s="12">
        <v>0</v>
      </c>
      <c r="F792" s="6">
        <v>0</v>
      </c>
      <c r="G792" s="6">
        <v>0</v>
      </c>
      <c r="H792" s="6">
        <v>0</v>
      </c>
      <c r="I792" s="6">
        <v>0</v>
      </c>
      <c r="J792" s="6">
        <v>43.76</v>
      </c>
      <c r="K792" s="6">
        <v>0</v>
      </c>
      <c r="L792" s="6">
        <v>43.76</v>
      </c>
      <c r="M792" s="6">
        <v>0</v>
      </c>
      <c r="N792">
        <v>16.988</v>
      </c>
    </row>
    <row r="793" spans="1:14">
      <c r="A793">
        <v>6071</v>
      </c>
      <c r="B793" t="s">
        <v>229</v>
      </c>
      <c r="C793" s="7">
        <v>42338</v>
      </c>
      <c r="D793" s="5">
        <v>30</v>
      </c>
      <c r="E793" s="12">
        <v>0</v>
      </c>
      <c r="F793" s="6">
        <v>0</v>
      </c>
      <c r="G793" s="6">
        <v>0</v>
      </c>
      <c r="H793" s="6">
        <v>0</v>
      </c>
      <c r="I793" s="6">
        <v>0</v>
      </c>
      <c r="J793" s="6">
        <v>109.4</v>
      </c>
      <c r="K793" s="6">
        <v>0</v>
      </c>
      <c r="L793" s="6">
        <v>109.4</v>
      </c>
      <c r="M793" s="6">
        <v>0</v>
      </c>
      <c r="N793">
        <v>16.280999999999999</v>
      </c>
    </row>
    <row r="794" spans="1:14">
      <c r="A794">
        <v>6062</v>
      </c>
      <c r="B794" t="s">
        <v>230</v>
      </c>
      <c r="C794" s="7">
        <v>42338</v>
      </c>
      <c r="D794" s="5">
        <v>30</v>
      </c>
      <c r="E794" s="12">
        <v>0</v>
      </c>
      <c r="F794" s="6">
        <v>0</v>
      </c>
      <c r="G794" s="6">
        <v>0</v>
      </c>
      <c r="H794" s="6">
        <v>0</v>
      </c>
      <c r="I794" s="6">
        <v>0</v>
      </c>
      <c r="J794" s="6">
        <v>43.76</v>
      </c>
      <c r="K794" s="6">
        <v>0</v>
      </c>
      <c r="L794" s="6">
        <v>43.76</v>
      </c>
      <c r="M794" s="6">
        <v>0</v>
      </c>
      <c r="N794">
        <v>46.584000000000003</v>
      </c>
    </row>
    <row r="795" spans="1:14">
      <c r="A795">
        <v>6068</v>
      </c>
      <c r="B795" t="s">
        <v>231</v>
      </c>
      <c r="C795" s="7">
        <v>42338</v>
      </c>
      <c r="D795" s="5">
        <v>30</v>
      </c>
      <c r="E795" s="12">
        <v>0</v>
      </c>
      <c r="F795" s="6">
        <v>0</v>
      </c>
      <c r="G795" s="6">
        <v>0</v>
      </c>
      <c r="H795" s="6">
        <v>0</v>
      </c>
      <c r="I795" s="6">
        <v>0</v>
      </c>
      <c r="J795" s="6">
        <v>109.4</v>
      </c>
      <c r="K795" s="6">
        <v>0</v>
      </c>
      <c r="L795" s="6">
        <v>109.4</v>
      </c>
      <c r="M795" s="6">
        <v>0</v>
      </c>
      <c r="N795">
        <v>96.366</v>
      </c>
    </row>
    <row r="796" spans="1:14">
      <c r="A796">
        <v>6098</v>
      </c>
      <c r="B796" t="s">
        <v>232</v>
      </c>
      <c r="C796" s="7">
        <v>42338</v>
      </c>
      <c r="D796" s="5">
        <v>30</v>
      </c>
      <c r="E796" s="12">
        <v>0</v>
      </c>
      <c r="F796" s="6">
        <v>0</v>
      </c>
      <c r="G796" s="6">
        <v>0</v>
      </c>
      <c r="H796" s="6">
        <v>0</v>
      </c>
      <c r="I796" s="6">
        <v>0</v>
      </c>
      <c r="J796" s="6">
        <v>27.35</v>
      </c>
      <c r="K796" s="6">
        <v>0</v>
      </c>
      <c r="L796" s="6">
        <v>27.35</v>
      </c>
      <c r="M796" s="6">
        <v>0</v>
      </c>
      <c r="N796">
        <v>22.638000000000002</v>
      </c>
    </row>
    <row r="797" spans="1:14">
      <c r="A797">
        <v>6065</v>
      </c>
      <c r="B797" t="s">
        <v>233</v>
      </c>
      <c r="C797" s="7">
        <v>42338</v>
      </c>
      <c r="D797" s="5">
        <v>30</v>
      </c>
      <c r="E797" s="12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>
        <v>0</v>
      </c>
    </row>
    <row r="798" spans="1:14">
      <c r="A798">
        <v>6064</v>
      </c>
      <c r="B798" t="s">
        <v>234</v>
      </c>
      <c r="C798" s="7">
        <v>42338</v>
      </c>
      <c r="D798" s="5">
        <v>30</v>
      </c>
      <c r="E798" s="12">
        <v>0</v>
      </c>
      <c r="F798" s="6">
        <v>0</v>
      </c>
      <c r="G798" s="6">
        <v>0</v>
      </c>
      <c r="H798" s="6">
        <v>0</v>
      </c>
      <c r="I798" s="6">
        <v>0</v>
      </c>
      <c r="J798" s="6">
        <v>43.76</v>
      </c>
      <c r="K798" s="6">
        <v>0</v>
      </c>
      <c r="L798" s="6">
        <v>43.76</v>
      </c>
      <c r="M798" s="6">
        <v>0</v>
      </c>
      <c r="N798">
        <v>3.4260000000000002</v>
      </c>
    </row>
    <row r="799" spans="1:14">
      <c r="A799">
        <v>6074</v>
      </c>
      <c r="B799" t="s">
        <v>235</v>
      </c>
      <c r="C799" s="7">
        <v>42338</v>
      </c>
      <c r="D799" s="5">
        <v>30</v>
      </c>
      <c r="E799" s="12">
        <v>0</v>
      </c>
      <c r="F799" s="6">
        <v>0</v>
      </c>
      <c r="G799" s="6">
        <v>0</v>
      </c>
      <c r="H799" s="6">
        <v>0</v>
      </c>
      <c r="I799" s="6">
        <v>0</v>
      </c>
      <c r="J799" s="6">
        <v>109.4</v>
      </c>
      <c r="K799" s="6">
        <v>0</v>
      </c>
      <c r="L799" s="6">
        <v>109.4</v>
      </c>
      <c r="M799" s="6">
        <v>0</v>
      </c>
      <c r="N799">
        <v>88.652000000000001</v>
      </c>
    </row>
    <row r="800" spans="1:14">
      <c r="A800">
        <v>6069</v>
      </c>
      <c r="B800" t="s">
        <v>236</v>
      </c>
      <c r="C800" s="7">
        <v>42338</v>
      </c>
      <c r="D800" s="5">
        <v>30</v>
      </c>
      <c r="E800" s="12">
        <v>0</v>
      </c>
      <c r="F800" s="6">
        <v>0</v>
      </c>
      <c r="G800" s="6">
        <v>0</v>
      </c>
      <c r="H800" s="6">
        <v>0</v>
      </c>
      <c r="I800" s="6">
        <v>0</v>
      </c>
      <c r="J800" s="6">
        <v>109.4</v>
      </c>
      <c r="K800" s="6">
        <v>0</v>
      </c>
      <c r="L800" s="6">
        <v>109.4</v>
      </c>
      <c r="M800" s="6">
        <v>0</v>
      </c>
      <c r="N800">
        <v>54.372999999999998</v>
      </c>
    </row>
    <row r="801" spans="1:14">
      <c r="A801">
        <v>6314</v>
      </c>
      <c r="B801" t="s">
        <v>1046</v>
      </c>
      <c r="C801" s="7">
        <v>42338</v>
      </c>
      <c r="D801" s="5">
        <v>30</v>
      </c>
      <c r="E801" s="12">
        <v>0</v>
      </c>
      <c r="F801" s="6">
        <v>0</v>
      </c>
      <c r="G801" s="6">
        <v>0</v>
      </c>
      <c r="H801" s="6">
        <v>0</v>
      </c>
      <c r="I801" s="6">
        <v>0</v>
      </c>
      <c r="J801" s="6">
        <v>109.4</v>
      </c>
      <c r="K801" s="6">
        <v>0</v>
      </c>
      <c r="L801" s="6">
        <v>109.4</v>
      </c>
      <c r="M801" s="6">
        <v>0</v>
      </c>
      <c r="N801">
        <v>10.202</v>
      </c>
    </row>
    <row r="802" spans="1:14">
      <c r="A802">
        <v>6077</v>
      </c>
      <c r="B802" t="s">
        <v>237</v>
      </c>
      <c r="C802" s="7">
        <v>42338</v>
      </c>
      <c r="D802" s="5">
        <v>30</v>
      </c>
      <c r="E802" s="12">
        <v>0</v>
      </c>
      <c r="F802" s="6">
        <v>0</v>
      </c>
      <c r="G802" s="6">
        <v>0</v>
      </c>
      <c r="H802" s="6">
        <v>0</v>
      </c>
      <c r="I802" s="6">
        <v>0</v>
      </c>
      <c r="J802" s="6">
        <v>27.35</v>
      </c>
      <c r="K802" s="6">
        <v>0</v>
      </c>
      <c r="L802" s="6">
        <v>27.35</v>
      </c>
      <c r="M802" s="6">
        <v>0</v>
      </c>
      <c r="N802">
        <v>52.103000000000002</v>
      </c>
    </row>
    <row r="803" spans="1:14">
      <c r="A803">
        <v>6073</v>
      </c>
      <c r="B803" t="s">
        <v>1044</v>
      </c>
      <c r="C803" s="7">
        <v>42338</v>
      </c>
      <c r="D803" s="5">
        <v>30</v>
      </c>
      <c r="E803" s="12">
        <v>0</v>
      </c>
      <c r="F803" s="6">
        <v>0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>
        <v>0</v>
      </c>
    </row>
    <row r="804" spans="1:14">
      <c r="A804">
        <v>6067</v>
      </c>
      <c r="B804" t="s">
        <v>238</v>
      </c>
      <c r="C804" s="7">
        <v>42338</v>
      </c>
      <c r="D804" s="5">
        <v>30</v>
      </c>
      <c r="E804" s="12">
        <v>0</v>
      </c>
      <c r="F804" s="6">
        <v>0</v>
      </c>
      <c r="G804" s="6">
        <v>0</v>
      </c>
      <c r="H804" s="6">
        <v>0</v>
      </c>
      <c r="I804" s="6">
        <v>0</v>
      </c>
      <c r="J804" s="6">
        <v>43.76</v>
      </c>
      <c r="K804" s="6">
        <v>0</v>
      </c>
      <c r="L804" s="6">
        <v>43.76</v>
      </c>
      <c r="M804" s="6">
        <v>0</v>
      </c>
      <c r="N804">
        <v>29.9</v>
      </c>
    </row>
    <row r="805" spans="1:14">
      <c r="A805">
        <v>6070</v>
      </c>
      <c r="B805" t="s">
        <v>239</v>
      </c>
      <c r="C805" s="7">
        <v>42338</v>
      </c>
      <c r="D805" s="5">
        <v>30</v>
      </c>
      <c r="E805" s="12">
        <v>0</v>
      </c>
      <c r="F805" s="6">
        <v>0</v>
      </c>
      <c r="G805" s="6">
        <v>0</v>
      </c>
      <c r="H805" s="6">
        <v>0</v>
      </c>
      <c r="I805" s="6">
        <v>0</v>
      </c>
      <c r="J805" s="6">
        <v>109.4</v>
      </c>
      <c r="K805" s="6">
        <v>0</v>
      </c>
      <c r="L805" s="6">
        <v>109.4</v>
      </c>
      <c r="M805" s="6">
        <v>0</v>
      </c>
      <c r="N805">
        <v>52.35</v>
      </c>
    </row>
    <row r="806" spans="1:14">
      <c r="A806">
        <v>6075</v>
      </c>
      <c r="B806" t="s">
        <v>240</v>
      </c>
      <c r="C806" s="7">
        <v>42338</v>
      </c>
      <c r="D806" s="5">
        <v>30</v>
      </c>
      <c r="E806" s="12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>
        <v>0</v>
      </c>
    </row>
    <row r="807" spans="1:14">
      <c r="A807">
        <v>6066</v>
      </c>
      <c r="B807" t="s">
        <v>241</v>
      </c>
      <c r="C807" s="7">
        <v>42338</v>
      </c>
      <c r="D807" s="5">
        <v>30</v>
      </c>
      <c r="E807" s="12">
        <v>0</v>
      </c>
      <c r="F807" s="6">
        <v>0</v>
      </c>
      <c r="G807" s="6">
        <v>0</v>
      </c>
      <c r="H807" s="6">
        <v>0</v>
      </c>
      <c r="I807" s="6">
        <v>0</v>
      </c>
      <c r="J807" s="6">
        <v>109.4</v>
      </c>
      <c r="K807" s="6">
        <v>0</v>
      </c>
      <c r="L807" s="6">
        <v>109.4</v>
      </c>
      <c r="M807" s="6">
        <v>0</v>
      </c>
      <c r="N807">
        <v>51.774999999999999</v>
      </c>
    </row>
    <row r="808" spans="1:14">
      <c r="A808">
        <v>6031</v>
      </c>
      <c r="B808" t="s">
        <v>242</v>
      </c>
      <c r="C808" s="7">
        <v>42338</v>
      </c>
      <c r="D808" s="5">
        <v>30</v>
      </c>
      <c r="E808" s="12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>
        <v>0</v>
      </c>
    </row>
    <row r="809" spans="1:14">
      <c r="A809">
        <v>6080</v>
      </c>
      <c r="B809" t="s">
        <v>243</v>
      </c>
      <c r="C809" s="7">
        <v>42338</v>
      </c>
      <c r="D809" s="5">
        <v>30</v>
      </c>
      <c r="E809" s="12">
        <v>0</v>
      </c>
      <c r="F809" s="6">
        <v>0</v>
      </c>
      <c r="G809" s="6">
        <v>0</v>
      </c>
      <c r="H809" s="6">
        <v>0</v>
      </c>
      <c r="I809" s="6">
        <v>0</v>
      </c>
      <c r="J809" s="6">
        <v>27.35</v>
      </c>
      <c r="K809" s="6">
        <v>0</v>
      </c>
      <c r="L809" s="6">
        <v>27.35</v>
      </c>
      <c r="M809" s="6">
        <v>0</v>
      </c>
      <c r="N809">
        <v>14.752000000000001</v>
      </c>
    </row>
    <row r="810" spans="1:14">
      <c r="A810">
        <v>6106</v>
      </c>
      <c r="B810" t="s">
        <v>244</v>
      </c>
      <c r="C810" s="7">
        <v>42338</v>
      </c>
      <c r="D810" s="5">
        <v>30</v>
      </c>
      <c r="E810" s="12">
        <v>0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>
        <v>5.0149999999999997</v>
      </c>
    </row>
    <row r="811" spans="1:14">
      <c r="A811">
        <v>6104</v>
      </c>
      <c r="B811" t="s">
        <v>245</v>
      </c>
      <c r="C811" s="7">
        <v>42338</v>
      </c>
      <c r="D811" s="5">
        <v>30</v>
      </c>
      <c r="E811" s="12">
        <v>0</v>
      </c>
      <c r="F811" s="6">
        <v>0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>
        <v>3.1909999999999998</v>
      </c>
    </row>
    <row r="812" spans="1:14">
      <c r="A812">
        <v>6033</v>
      </c>
      <c r="B812" t="s">
        <v>246</v>
      </c>
      <c r="C812" s="7">
        <v>42338</v>
      </c>
      <c r="D812" s="5">
        <v>30</v>
      </c>
      <c r="E812" s="12">
        <v>0</v>
      </c>
      <c r="F812" s="6">
        <v>0</v>
      </c>
      <c r="G812" s="6">
        <v>0</v>
      </c>
      <c r="H812" s="6">
        <v>0</v>
      </c>
      <c r="I812" s="6">
        <v>0</v>
      </c>
      <c r="J812" s="6">
        <v>27.35</v>
      </c>
      <c r="K812" s="6">
        <v>0</v>
      </c>
      <c r="L812" s="6">
        <v>27.35</v>
      </c>
      <c r="M812" s="6">
        <v>0</v>
      </c>
      <c r="N812">
        <v>20.507000000000001</v>
      </c>
    </row>
    <row r="813" spans="1:14">
      <c r="A813">
        <v>6035</v>
      </c>
      <c r="B813" t="s">
        <v>247</v>
      </c>
      <c r="C813" s="7">
        <v>42338</v>
      </c>
      <c r="D813" s="5">
        <v>30</v>
      </c>
      <c r="E813" s="12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>
        <v>7.548</v>
      </c>
    </row>
    <row r="814" spans="1:14" s="20" customFormat="1">
      <c r="A814" s="20">
        <v>6036</v>
      </c>
      <c r="B814" s="20" t="s">
        <v>248</v>
      </c>
      <c r="C814" s="21">
        <v>42338</v>
      </c>
      <c r="D814" s="22">
        <v>30</v>
      </c>
      <c r="E814" s="23">
        <v>0</v>
      </c>
      <c r="F814" s="24">
        <v>0</v>
      </c>
      <c r="G814" s="24">
        <v>0</v>
      </c>
      <c r="H814" s="24">
        <v>0</v>
      </c>
      <c r="I814" s="24">
        <v>0</v>
      </c>
      <c r="J814" s="24">
        <v>43.76</v>
      </c>
      <c r="K814" s="24">
        <v>0</v>
      </c>
      <c r="L814" s="24">
        <v>43.76</v>
      </c>
      <c r="M814" s="24">
        <v>0</v>
      </c>
      <c r="N814" s="20">
        <v>23.100999999999999</v>
      </c>
    </row>
    <row r="815" spans="1:14" s="20" customFormat="1">
      <c r="A815" s="20">
        <v>6037</v>
      </c>
      <c r="B815" s="20" t="s">
        <v>249</v>
      </c>
      <c r="C815" s="21">
        <v>42338</v>
      </c>
      <c r="D815" s="22">
        <v>30</v>
      </c>
      <c r="E815" s="23">
        <v>0</v>
      </c>
      <c r="F815" s="24">
        <v>0</v>
      </c>
      <c r="G815" s="24">
        <v>0</v>
      </c>
      <c r="H815" s="24">
        <v>0</v>
      </c>
      <c r="I815" s="24">
        <v>0</v>
      </c>
      <c r="J815" s="24">
        <v>0</v>
      </c>
      <c r="K815" s="24">
        <v>0</v>
      </c>
      <c r="L815" s="24">
        <v>0</v>
      </c>
      <c r="M815" s="24">
        <v>0</v>
      </c>
      <c r="N815" s="20">
        <v>8.4969999999999999</v>
      </c>
    </row>
    <row r="816" spans="1:14" s="20" customFormat="1">
      <c r="A816" s="20">
        <v>21283</v>
      </c>
      <c r="B816" s="20" t="s">
        <v>994</v>
      </c>
      <c r="C816" s="21">
        <v>42338</v>
      </c>
      <c r="D816" s="22">
        <v>30</v>
      </c>
      <c r="E816" s="23">
        <v>2.3860000000000001</v>
      </c>
      <c r="F816" s="24">
        <v>37.798000000000002</v>
      </c>
      <c r="G816" s="24">
        <v>37.798000000000002</v>
      </c>
      <c r="H816" s="24">
        <v>19611.868999999999</v>
      </c>
      <c r="I816" s="24">
        <v>20607.73</v>
      </c>
      <c r="J816" s="24">
        <v>6.98</v>
      </c>
      <c r="K816" s="24">
        <v>988.88099999999997</v>
      </c>
      <c r="L816" s="24">
        <v>0</v>
      </c>
      <c r="M816" s="24">
        <v>2.3860000000000001</v>
      </c>
      <c r="N816" s="20">
        <v>91.731999999999999</v>
      </c>
    </row>
    <row r="817" spans="1:14" s="20" customFormat="1">
      <c r="A817" s="20">
        <v>21281</v>
      </c>
      <c r="B817" s="20" t="s">
        <v>992</v>
      </c>
      <c r="C817" s="21">
        <v>42338</v>
      </c>
      <c r="D817" s="22">
        <v>30</v>
      </c>
      <c r="E817" s="23">
        <v>2.0659999999999998</v>
      </c>
      <c r="F817" s="24">
        <v>31.681999999999999</v>
      </c>
      <c r="G817" s="24">
        <v>31.617999999999999</v>
      </c>
      <c r="H817" s="24">
        <v>16404.669999999998</v>
      </c>
      <c r="I817" s="24">
        <v>17253.89</v>
      </c>
      <c r="J817" s="24">
        <v>5.84</v>
      </c>
      <c r="K817" s="24">
        <v>843.38</v>
      </c>
      <c r="L817" s="24">
        <v>0</v>
      </c>
      <c r="M817" s="24">
        <v>2.0019999999999998</v>
      </c>
      <c r="N817" s="20">
        <v>76.730999999999995</v>
      </c>
    </row>
    <row r="818" spans="1:14" s="20" customFormat="1">
      <c r="A818" s="20">
        <v>17764</v>
      </c>
      <c r="B818" s="20" t="s">
        <v>641</v>
      </c>
      <c r="C818" s="21">
        <v>42338</v>
      </c>
      <c r="D818" s="22">
        <v>30</v>
      </c>
      <c r="E818" s="23">
        <v>1.1970000000000001</v>
      </c>
      <c r="F818" s="24">
        <v>18.373999999999999</v>
      </c>
      <c r="G818" s="24">
        <v>18.338000000000001</v>
      </c>
      <c r="H818" s="24">
        <v>9515.2240000000002</v>
      </c>
      <c r="I818" s="24">
        <v>10162.36</v>
      </c>
      <c r="J818" s="24">
        <v>3.39</v>
      </c>
      <c r="K818" s="24">
        <v>643.74599999999998</v>
      </c>
      <c r="L818" s="24">
        <v>0</v>
      </c>
      <c r="M818" s="24">
        <v>1.161</v>
      </c>
      <c r="N818" s="20">
        <v>44.506</v>
      </c>
    </row>
    <row r="819" spans="1:14" s="20" customFormat="1">
      <c r="A819" s="20">
        <v>17767</v>
      </c>
      <c r="B819" s="20" t="s">
        <v>642</v>
      </c>
      <c r="C819" s="21">
        <v>42338</v>
      </c>
      <c r="D819" s="22">
        <v>30</v>
      </c>
      <c r="E819" s="23">
        <v>0.89500000000000002</v>
      </c>
      <c r="F819" s="24">
        <v>13.997</v>
      </c>
      <c r="G819" s="24">
        <v>13.987</v>
      </c>
      <c r="H819" s="24">
        <v>7257.451</v>
      </c>
      <c r="I819" s="24">
        <v>7801.35</v>
      </c>
      <c r="J819" s="24">
        <v>2.58</v>
      </c>
      <c r="K819" s="24">
        <v>541.31899999999996</v>
      </c>
      <c r="L819" s="24">
        <v>0</v>
      </c>
      <c r="M819" s="24">
        <v>0.88500000000000001</v>
      </c>
      <c r="N819" s="20">
        <v>33.945999999999998</v>
      </c>
    </row>
    <row r="820" spans="1:14" s="20" customFormat="1">
      <c r="A820" s="20">
        <v>17585</v>
      </c>
      <c r="B820" s="20" t="s">
        <v>633</v>
      </c>
      <c r="C820" s="21">
        <v>42338</v>
      </c>
      <c r="D820" s="22">
        <v>30</v>
      </c>
      <c r="E820" s="23">
        <v>0.79400000000000004</v>
      </c>
      <c r="F820" s="24">
        <v>12.46</v>
      </c>
      <c r="G820" s="24">
        <v>12.452</v>
      </c>
      <c r="H820" s="24">
        <v>6461.08</v>
      </c>
      <c r="I820" s="24">
        <v>6970.3</v>
      </c>
      <c r="J820" s="24">
        <v>2.2999999999999998</v>
      </c>
      <c r="K820" s="24">
        <v>506.92</v>
      </c>
      <c r="L820" s="24">
        <v>0</v>
      </c>
      <c r="M820" s="24">
        <v>0.78600000000000003</v>
      </c>
      <c r="N820" s="20">
        <v>30.221</v>
      </c>
    </row>
    <row r="821" spans="1:14" s="20" customFormat="1">
      <c r="A821" s="20">
        <v>17584</v>
      </c>
      <c r="B821" s="20" t="s">
        <v>637</v>
      </c>
      <c r="C821" s="21">
        <v>42338</v>
      </c>
      <c r="D821" s="22">
        <v>30</v>
      </c>
      <c r="E821" s="23">
        <v>0.82199999999999995</v>
      </c>
      <c r="F821" s="24">
        <v>12.852</v>
      </c>
      <c r="G821" s="24">
        <v>12.843</v>
      </c>
      <c r="H821" s="24">
        <v>6663.3059999999996</v>
      </c>
      <c r="I821" s="24">
        <v>7180.04</v>
      </c>
      <c r="J821" s="24">
        <v>2.37</v>
      </c>
      <c r="K821" s="24">
        <v>514.36400000000003</v>
      </c>
      <c r="L821" s="24">
        <v>0</v>
      </c>
      <c r="M821" s="24">
        <v>0.81299999999999994</v>
      </c>
      <c r="N821" s="20">
        <v>31.167000000000002</v>
      </c>
    </row>
    <row r="822" spans="1:14" s="20" customFormat="1">
      <c r="A822" s="20">
        <v>17879</v>
      </c>
      <c r="B822" s="20" t="s">
        <v>635</v>
      </c>
      <c r="C822" s="21">
        <v>42338</v>
      </c>
      <c r="D822" s="22">
        <v>30</v>
      </c>
      <c r="E822" s="23">
        <v>1.4790000000000001</v>
      </c>
      <c r="F822" s="24">
        <v>23.129000000000001</v>
      </c>
      <c r="G822" s="24">
        <v>23.11</v>
      </c>
      <c r="H822" s="24">
        <v>11990.814</v>
      </c>
      <c r="I822" s="24">
        <v>12754.61</v>
      </c>
      <c r="J822" s="24">
        <v>4.2699999999999996</v>
      </c>
      <c r="K822" s="24">
        <v>759.52599999999995</v>
      </c>
      <c r="L822" s="24">
        <v>0</v>
      </c>
      <c r="M822" s="24">
        <v>1.46</v>
      </c>
      <c r="N822" s="20">
        <v>56.085000000000001</v>
      </c>
    </row>
    <row r="823" spans="1:14" s="20" customFormat="1">
      <c r="A823" s="20">
        <v>17884</v>
      </c>
      <c r="B823" s="20" t="s">
        <v>796</v>
      </c>
      <c r="C823" s="21">
        <v>42338</v>
      </c>
      <c r="D823" s="22">
        <v>30</v>
      </c>
      <c r="E823" s="23">
        <v>0.97899999999999998</v>
      </c>
      <c r="F823" s="24">
        <v>15.273</v>
      </c>
      <c r="G823" s="24">
        <v>15.257999999999999</v>
      </c>
      <c r="H823" s="24">
        <v>7916.1670000000004</v>
      </c>
      <c r="I823" s="24">
        <v>8490.19</v>
      </c>
      <c r="J823" s="24">
        <v>2.82</v>
      </c>
      <c r="K823" s="24">
        <v>571.20299999999997</v>
      </c>
      <c r="L823" s="24">
        <v>2.82</v>
      </c>
      <c r="M823" s="24">
        <v>0.96399999999999997</v>
      </c>
      <c r="N823" s="20">
        <v>37.027000000000001</v>
      </c>
    </row>
    <row r="824" spans="1:14" s="20" customFormat="1">
      <c r="A824" s="20">
        <v>17586</v>
      </c>
      <c r="B824" s="20" t="s">
        <v>634</v>
      </c>
      <c r="C824" s="21">
        <v>42338</v>
      </c>
      <c r="D824" s="22">
        <v>30</v>
      </c>
      <c r="E824" s="23">
        <v>0.86599999999999999</v>
      </c>
      <c r="F824" s="24">
        <v>13.13</v>
      </c>
      <c r="G824" s="24">
        <v>13.093</v>
      </c>
      <c r="H824" s="24">
        <v>6793.6909999999998</v>
      </c>
      <c r="I824" s="24">
        <v>7316.39</v>
      </c>
      <c r="J824" s="24">
        <v>2.42</v>
      </c>
      <c r="K824" s="24">
        <v>520.279</v>
      </c>
      <c r="L824" s="24">
        <v>0</v>
      </c>
      <c r="M824" s="24">
        <v>0.82899999999999996</v>
      </c>
      <c r="N824" s="20">
        <v>31.776</v>
      </c>
    </row>
    <row r="825" spans="1:14" s="20" customFormat="1">
      <c r="A825" s="20">
        <v>17587</v>
      </c>
      <c r="B825" s="20" t="s">
        <v>638</v>
      </c>
      <c r="C825" s="21">
        <v>42338</v>
      </c>
      <c r="D825" s="22">
        <v>30</v>
      </c>
      <c r="E825" s="23">
        <v>1.1619999999999999</v>
      </c>
      <c r="F825" s="24">
        <v>18.149000000000001</v>
      </c>
      <c r="G825" s="24">
        <v>18.132999999999999</v>
      </c>
      <c r="H825" s="24">
        <v>9408.6579999999994</v>
      </c>
      <c r="I825" s="24">
        <v>10050.92</v>
      </c>
      <c r="J825" s="24">
        <v>3.35</v>
      </c>
      <c r="K825" s="24">
        <v>638.91200000000003</v>
      </c>
      <c r="L825" s="24">
        <v>0</v>
      </c>
      <c r="M825" s="24">
        <v>1.1459999999999999</v>
      </c>
      <c r="N825" s="20">
        <v>44.006999999999998</v>
      </c>
    </row>
    <row r="826" spans="1:14" s="20" customFormat="1">
      <c r="A826" s="20">
        <v>18386</v>
      </c>
      <c r="B826" s="20" t="s">
        <v>797</v>
      </c>
      <c r="C826" s="21">
        <v>42338</v>
      </c>
      <c r="D826" s="22">
        <v>30</v>
      </c>
      <c r="E826" s="23">
        <v>0.96099999999999997</v>
      </c>
      <c r="F826" s="24">
        <v>14.997</v>
      </c>
      <c r="G826" s="24">
        <v>14.984</v>
      </c>
      <c r="H826" s="24">
        <v>7774.6859999999997</v>
      </c>
      <c r="I826" s="24">
        <v>8342.24</v>
      </c>
      <c r="J826" s="24">
        <v>2.77</v>
      </c>
      <c r="K826" s="24">
        <v>564.78399999999999</v>
      </c>
      <c r="L826" s="24">
        <v>0</v>
      </c>
      <c r="M826" s="24">
        <v>0.94799999999999995</v>
      </c>
      <c r="N826" s="20">
        <v>36.365000000000002</v>
      </c>
    </row>
    <row r="827" spans="1:14" s="20" customFormat="1">
      <c r="A827" s="20">
        <v>21441</v>
      </c>
      <c r="B827" s="20" t="s">
        <v>993</v>
      </c>
      <c r="C827" s="21">
        <v>42338</v>
      </c>
      <c r="D827" s="22">
        <v>30</v>
      </c>
      <c r="E827" s="23">
        <v>1.0469999999999999</v>
      </c>
      <c r="F827" s="24">
        <v>16.122</v>
      </c>
      <c r="G827" s="24">
        <v>16.094000000000001</v>
      </c>
      <c r="H827" s="24">
        <v>8350.4650000000001</v>
      </c>
      <c r="I827" s="24">
        <v>8831.42</v>
      </c>
      <c r="J827" s="24">
        <v>2.97</v>
      </c>
      <c r="K827" s="24">
        <v>477.98500000000001</v>
      </c>
      <c r="L827" s="24">
        <v>0</v>
      </c>
      <c r="M827" s="24">
        <v>1.0189999999999999</v>
      </c>
      <c r="N827" s="20">
        <v>39.058</v>
      </c>
    </row>
    <row r="828" spans="1:14" s="20" customFormat="1">
      <c r="A828" s="20">
        <v>17765</v>
      </c>
      <c r="B828" s="20" t="s">
        <v>639</v>
      </c>
      <c r="C828" s="21">
        <v>42338</v>
      </c>
      <c r="D828" s="22">
        <v>30</v>
      </c>
      <c r="E828" s="23">
        <v>1.02</v>
      </c>
      <c r="F828" s="24">
        <v>15.837999999999999</v>
      </c>
      <c r="G828" s="24">
        <v>15.818</v>
      </c>
      <c r="H828" s="24">
        <v>8206.7829999999994</v>
      </c>
      <c r="I828" s="24">
        <v>8794.09</v>
      </c>
      <c r="J828" s="24">
        <v>2.92</v>
      </c>
      <c r="K828" s="24">
        <v>584.38699999999994</v>
      </c>
      <c r="L828" s="24">
        <v>0</v>
      </c>
      <c r="M828" s="24">
        <v>1</v>
      </c>
      <c r="N828" s="20">
        <v>38.386000000000003</v>
      </c>
    </row>
    <row r="829" spans="1:14" s="20" customFormat="1">
      <c r="A829" s="20">
        <v>17766</v>
      </c>
      <c r="B829" s="20" t="s">
        <v>640</v>
      </c>
      <c r="C829" s="21">
        <v>42338</v>
      </c>
      <c r="D829" s="22">
        <v>30</v>
      </c>
      <c r="E829" s="23">
        <v>0.80400000000000005</v>
      </c>
      <c r="F829" s="24">
        <v>12.317</v>
      </c>
      <c r="G829" s="24">
        <v>12.291</v>
      </c>
      <c r="H829" s="24">
        <v>6377.2820000000002</v>
      </c>
      <c r="I829" s="24">
        <v>6880.94</v>
      </c>
      <c r="J829" s="24">
        <v>2.27</v>
      </c>
      <c r="K829" s="24">
        <v>501.38799999999998</v>
      </c>
      <c r="L829" s="24">
        <v>0</v>
      </c>
      <c r="M829" s="24">
        <v>0.77800000000000002</v>
      </c>
      <c r="N829" s="20">
        <v>29.827999999999999</v>
      </c>
    </row>
    <row r="830" spans="1:14" s="20" customFormat="1">
      <c r="A830" s="20">
        <v>21279</v>
      </c>
      <c r="B830" s="20" t="s">
        <v>1017</v>
      </c>
      <c r="C830" s="21">
        <v>42338</v>
      </c>
      <c r="D830" s="22">
        <v>30</v>
      </c>
      <c r="E830" s="23">
        <v>1.18</v>
      </c>
      <c r="F830" s="24">
        <v>18.152000000000001</v>
      </c>
      <c r="G830" s="24">
        <v>18.117000000000001</v>
      </c>
      <c r="H830" s="24">
        <v>9400.24</v>
      </c>
      <c r="I830" s="24">
        <v>9929.2000000000007</v>
      </c>
      <c r="J830" s="24">
        <v>3.35</v>
      </c>
      <c r="K830" s="24">
        <v>525.61</v>
      </c>
      <c r="L830" s="24">
        <v>0</v>
      </c>
      <c r="M830" s="24">
        <v>1.145</v>
      </c>
      <c r="N830" s="20">
        <v>43.968000000000004</v>
      </c>
    </row>
    <row r="831" spans="1:14" s="20" customFormat="1">
      <c r="A831" s="20">
        <v>21284</v>
      </c>
      <c r="B831" s="20" t="s">
        <v>1018</v>
      </c>
      <c r="C831" s="21">
        <v>42338</v>
      </c>
      <c r="D831" s="22">
        <v>30</v>
      </c>
      <c r="E831" s="23">
        <v>0.96199999999999997</v>
      </c>
      <c r="F831" s="24">
        <v>14.67</v>
      </c>
      <c r="G831" s="24">
        <v>14.637</v>
      </c>
      <c r="H831" s="24">
        <v>7593.9840000000004</v>
      </c>
      <c r="I831" s="24">
        <v>8040.35</v>
      </c>
      <c r="J831" s="24">
        <v>2.7</v>
      </c>
      <c r="K831" s="24">
        <v>443.666</v>
      </c>
      <c r="L831" s="24">
        <v>0</v>
      </c>
      <c r="M831" s="24">
        <v>0.92900000000000005</v>
      </c>
      <c r="N831" s="20">
        <v>35.518999999999998</v>
      </c>
    </row>
    <row r="832" spans="1:14" s="20" customFormat="1">
      <c r="A832" s="20">
        <v>21285</v>
      </c>
      <c r="B832" s="20" t="s">
        <v>990</v>
      </c>
      <c r="C832" s="21">
        <v>42338</v>
      </c>
      <c r="D832" s="22">
        <v>30</v>
      </c>
      <c r="E832" s="23">
        <v>0.93300000000000005</v>
      </c>
      <c r="F832" s="24">
        <v>14.363</v>
      </c>
      <c r="G832" s="24">
        <v>14.337</v>
      </c>
      <c r="H832" s="24">
        <v>7439.3010000000004</v>
      </c>
      <c r="I832" s="24">
        <v>7882.07</v>
      </c>
      <c r="J832" s="24">
        <v>2.65</v>
      </c>
      <c r="K832" s="24">
        <v>440.11900000000003</v>
      </c>
      <c r="L832" s="24">
        <v>0</v>
      </c>
      <c r="M832" s="24">
        <v>0.90700000000000003</v>
      </c>
      <c r="N832" s="20">
        <v>34.795999999999999</v>
      </c>
    </row>
    <row r="833" spans="1:14" s="20" customFormat="1">
      <c r="A833" s="20">
        <v>21442</v>
      </c>
      <c r="B833" s="20" t="s">
        <v>996</v>
      </c>
      <c r="C833" s="21">
        <v>42338</v>
      </c>
      <c r="D833" s="22">
        <v>30</v>
      </c>
      <c r="E833" s="23">
        <v>1.325</v>
      </c>
      <c r="F833" s="24">
        <v>20.384</v>
      </c>
      <c r="G833" s="24">
        <v>20.344999999999999</v>
      </c>
      <c r="H833" s="24">
        <v>10555.91</v>
      </c>
      <c r="I833" s="24">
        <v>11137.71</v>
      </c>
      <c r="J833" s="24">
        <v>3.76</v>
      </c>
      <c r="K833" s="24">
        <v>578.04</v>
      </c>
      <c r="L833" s="24">
        <v>0</v>
      </c>
      <c r="M833" s="24">
        <v>1.286</v>
      </c>
      <c r="N833" s="20">
        <v>49.372999999999998</v>
      </c>
    </row>
    <row r="834" spans="1:14" s="20" customFormat="1">
      <c r="A834" s="20">
        <v>17878</v>
      </c>
      <c r="B834" s="20" t="s">
        <v>813</v>
      </c>
      <c r="C834" s="21">
        <v>42338</v>
      </c>
      <c r="D834" s="22">
        <v>30</v>
      </c>
      <c r="E834" s="23">
        <v>0.77</v>
      </c>
      <c r="F834" s="24">
        <v>12.021000000000001</v>
      </c>
      <c r="G834" s="24">
        <v>12.01</v>
      </c>
      <c r="H834" s="24">
        <v>6231.4</v>
      </c>
      <c r="I834" s="24">
        <v>6731.28</v>
      </c>
      <c r="J834" s="24">
        <v>2.2200000000000002</v>
      </c>
      <c r="K834" s="24">
        <v>497.66</v>
      </c>
      <c r="L834" s="24">
        <v>0</v>
      </c>
      <c r="M834" s="24">
        <v>0.75900000000000001</v>
      </c>
      <c r="N834" s="20">
        <v>1.845</v>
      </c>
    </row>
    <row r="835" spans="1:14" s="20" customFormat="1">
      <c r="A835" s="20">
        <v>17882</v>
      </c>
      <c r="B835" s="20" t="s">
        <v>824</v>
      </c>
      <c r="C835" s="21">
        <v>42338</v>
      </c>
      <c r="D835" s="22">
        <v>30</v>
      </c>
      <c r="E835" s="23">
        <v>0.80800000000000005</v>
      </c>
      <c r="F835" s="24">
        <v>12.615</v>
      </c>
      <c r="G835" s="24">
        <v>12.603</v>
      </c>
      <c r="H835" s="24">
        <v>6539.1390000000001</v>
      </c>
      <c r="I835" s="24">
        <v>7050.2</v>
      </c>
      <c r="J835" s="24">
        <v>2.33</v>
      </c>
      <c r="K835" s="24">
        <v>508.73099999999999</v>
      </c>
      <c r="L835" s="24">
        <v>0</v>
      </c>
      <c r="M835" s="24">
        <v>0.79600000000000004</v>
      </c>
      <c r="N835" s="20">
        <v>30.585000000000001</v>
      </c>
    </row>
    <row r="836" spans="1:14" s="20" customFormat="1">
      <c r="A836" s="20">
        <v>21278</v>
      </c>
      <c r="B836" s="20" t="s">
        <v>1019</v>
      </c>
      <c r="C836" s="21">
        <v>42338</v>
      </c>
      <c r="D836" s="22">
        <v>30</v>
      </c>
      <c r="E836" s="23">
        <v>1.052</v>
      </c>
      <c r="F836" s="24">
        <v>16.158999999999999</v>
      </c>
      <c r="G836" s="24">
        <v>16.129000000000001</v>
      </c>
      <c r="H836" s="24">
        <v>8368.7360000000008</v>
      </c>
      <c r="I836" s="24">
        <v>9037.49</v>
      </c>
      <c r="J836" s="24">
        <v>2.98</v>
      </c>
      <c r="K836" s="24">
        <v>665.774</v>
      </c>
      <c r="L836" s="24">
        <v>0</v>
      </c>
      <c r="M836" s="24">
        <v>1.022</v>
      </c>
      <c r="N836" s="20">
        <v>39.143999999999998</v>
      </c>
    </row>
    <row r="837" spans="1:14" s="20" customFormat="1">
      <c r="A837" s="20">
        <v>21280</v>
      </c>
      <c r="B837" s="20" t="s">
        <v>1020</v>
      </c>
      <c r="C837" s="21">
        <v>42338</v>
      </c>
      <c r="D837" s="22">
        <v>30</v>
      </c>
      <c r="E837" s="23">
        <v>1.1919999999999999</v>
      </c>
      <c r="F837" s="24">
        <v>18.398</v>
      </c>
      <c r="G837" s="24">
        <v>18.367999999999999</v>
      </c>
      <c r="H837" s="24">
        <v>9530.5290000000005</v>
      </c>
      <c r="I837" s="24">
        <v>10065.44</v>
      </c>
      <c r="J837" s="24">
        <v>3.39</v>
      </c>
      <c r="K837" s="24">
        <v>531.52099999999996</v>
      </c>
      <c r="L837" s="24">
        <v>0</v>
      </c>
      <c r="M837" s="24">
        <v>1.1619999999999999</v>
      </c>
      <c r="N837" s="20">
        <v>44.578000000000003</v>
      </c>
    </row>
    <row r="838" spans="1:14" s="20" customFormat="1">
      <c r="A838" s="20">
        <v>16159</v>
      </c>
      <c r="B838" s="20" t="s">
        <v>995</v>
      </c>
      <c r="C838" s="21">
        <v>42338</v>
      </c>
      <c r="D838" s="22">
        <v>30</v>
      </c>
      <c r="E838" s="23">
        <v>1.23</v>
      </c>
      <c r="F838" s="24">
        <v>18.925000000000001</v>
      </c>
      <c r="G838" s="24">
        <v>18.888999999999999</v>
      </c>
      <c r="H838" s="24">
        <v>9800.9599999999991</v>
      </c>
      <c r="I838" s="24">
        <v>10461.16</v>
      </c>
      <c r="J838" s="24">
        <v>3.49</v>
      </c>
      <c r="K838" s="24">
        <v>656.71</v>
      </c>
      <c r="L838" s="24">
        <v>0</v>
      </c>
      <c r="M838" s="24">
        <v>1.194</v>
      </c>
      <c r="N838" s="20">
        <v>45.843000000000004</v>
      </c>
    </row>
    <row r="839" spans="1:14" s="20" customFormat="1">
      <c r="A839" s="20">
        <v>17890</v>
      </c>
      <c r="B839" s="20" t="s">
        <v>798</v>
      </c>
      <c r="C839" s="21">
        <v>42338</v>
      </c>
      <c r="D839" s="22">
        <v>30</v>
      </c>
      <c r="E839" s="23">
        <v>1.42</v>
      </c>
      <c r="F839" s="24">
        <v>22.120999999999999</v>
      </c>
      <c r="G839" s="24">
        <v>22.097999999999999</v>
      </c>
      <c r="H839" s="24">
        <v>11465.83</v>
      </c>
      <c r="I839" s="24">
        <v>12202.15</v>
      </c>
      <c r="J839" s="24">
        <v>4.08</v>
      </c>
      <c r="K839" s="24">
        <v>732.24</v>
      </c>
      <c r="L839" s="24">
        <v>0</v>
      </c>
      <c r="M839" s="24">
        <v>1.397</v>
      </c>
      <c r="N839" s="20">
        <v>53.63</v>
      </c>
    </row>
    <row r="840" spans="1:14" s="20" customFormat="1">
      <c r="A840" s="20">
        <v>17891</v>
      </c>
      <c r="B840" s="20" t="s">
        <v>799</v>
      </c>
      <c r="C840" s="21">
        <v>42338</v>
      </c>
      <c r="D840" s="22">
        <v>30</v>
      </c>
      <c r="E840" s="23">
        <v>1.2270000000000001</v>
      </c>
      <c r="F840" s="24">
        <v>18.994</v>
      </c>
      <c r="G840" s="24">
        <v>18.968</v>
      </c>
      <c r="H840" s="24">
        <v>9842.19</v>
      </c>
      <c r="I840" s="24">
        <v>10508.31</v>
      </c>
      <c r="J840" s="24">
        <v>3.5</v>
      </c>
      <c r="K840" s="24">
        <v>662.62</v>
      </c>
      <c r="L840" s="24">
        <v>0</v>
      </c>
      <c r="M840" s="24">
        <v>1.2010000000000001</v>
      </c>
      <c r="N840" s="20">
        <v>46.034999999999997</v>
      </c>
    </row>
    <row r="841" spans="1:14" s="20" customFormat="1">
      <c r="A841" s="20">
        <v>17881</v>
      </c>
      <c r="B841" s="20" t="s">
        <v>1021</v>
      </c>
      <c r="C841" s="21">
        <v>42338</v>
      </c>
      <c r="D841" s="22">
        <v>30</v>
      </c>
      <c r="E841" s="23">
        <v>0.85099999999999998</v>
      </c>
      <c r="F841" s="24">
        <v>13.026999999999999</v>
      </c>
      <c r="G841" s="24">
        <v>13</v>
      </c>
      <c r="H841" s="24">
        <v>6745.0950000000003</v>
      </c>
      <c r="I841" s="24">
        <v>7152.65</v>
      </c>
      <c r="J841" s="24">
        <v>2.4</v>
      </c>
      <c r="K841" s="24">
        <v>405.15499999999997</v>
      </c>
      <c r="L841" s="24">
        <v>0</v>
      </c>
      <c r="M841" s="24">
        <v>0.82399999999999995</v>
      </c>
      <c r="N841" s="20">
        <v>31.548999999999999</v>
      </c>
    </row>
    <row r="842" spans="1:14" s="20" customFormat="1">
      <c r="A842" s="20">
        <v>17892</v>
      </c>
      <c r="B842" s="20" t="s">
        <v>1022</v>
      </c>
      <c r="C842" s="21">
        <v>42338</v>
      </c>
      <c r="D842" s="22">
        <v>30</v>
      </c>
      <c r="E842" s="23">
        <v>0.96599999999999997</v>
      </c>
      <c r="F842" s="24">
        <v>14.784000000000001</v>
      </c>
      <c r="G842" s="24">
        <v>14.753</v>
      </c>
      <c r="H842" s="24">
        <v>7654.8239999999996</v>
      </c>
      <c r="I842" s="24">
        <v>8103.97</v>
      </c>
      <c r="J842" s="24">
        <v>2.72</v>
      </c>
      <c r="K842" s="24">
        <v>446.42599999999999</v>
      </c>
      <c r="L842" s="24">
        <v>0</v>
      </c>
      <c r="M842" s="24">
        <v>0.93500000000000005</v>
      </c>
      <c r="N842" s="20">
        <v>35.805</v>
      </c>
    </row>
    <row r="843" spans="1:14" s="20" customFormat="1">
      <c r="A843" s="20">
        <v>17883</v>
      </c>
      <c r="B843" s="20" t="s">
        <v>800</v>
      </c>
      <c r="C843" s="21">
        <v>42338</v>
      </c>
      <c r="D843" s="22">
        <v>30</v>
      </c>
      <c r="E843" s="23">
        <v>1.014</v>
      </c>
      <c r="F843" s="24">
        <v>15.76</v>
      </c>
      <c r="G843" s="24">
        <v>15.741</v>
      </c>
      <c r="H843" s="24">
        <v>8167.18</v>
      </c>
      <c r="I843" s="24">
        <v>8752.68</v>
      </c>
      <c r="J843" s="24">
        <v>2.91</v>
      </c>
      <c r="K843" s="24">
        <v>582.59</v>
      </c>
      <c r="L843" s="24">
        <v>0</v>
      </c>
      <c r="M843" s="24">
        <v>0.995</v>
      </c>
      <c r="N843" s="20">
        <v>38.201000000000001</v>
      </c>
    </row>
    <row r="844" spans="1:14" s="20" customFormat="1">
      <c r="A844" s="20">
        <v>17889</v>
      </c>
      <c r="B844" s="20" t="s">
        <v>801</v>
      </c>
      <c r="C844" s="21">
        <v>42338</v>
      </c>
      <c r="D844" s="22">
        <v>30</v>
      </c>
      <c r="E844" s="23">
        <v>0.97</v>
      </c>
      <c r="F844" s="24">
        <v>15.175000000000001</v>
      </c>
      <c r="G844" s="24">
        <v>15.162000000000001</v>
      </c>
      <c r="H844" s="24">
        <v>7866.902</v>
      </c>
      <c r="I844" s="24">
        <v>8438.67</v>
      </c>
      <c r="J844" s="24">
        <v>2.8</v>
      </c>
      <c r="K844" s="24">
        <v>568.96799999999996</v>
      </c>
      <c r="L844" s="24">
        <v>0</v>
      </c>
      <c r="M844" s="24">
        <v>0.95699999999999996</v>
      </c>
      <c r="N844" s="20">
        <v>36.795999999999999</v>
      </c>
    </row>
    <row r="845" spans="1:14" s="20" customFormat="1">
      <c r="A845" s="20">
        <v>17888</v>
      </c>
      <c r="B845" s="20" t="s">
        <v>814</v>
      </c>
      <c r="C845" s="21">
        <v>42338</v>
      </c>
      <c r="D845" s="22">
        <v>30</v>
      </c>
      <c r="E845" s="23">
        <v>0.47599999999999998</v>
      </c>
      <c r="F845" s="24">
        <v>7.5229999999999997</v>
      </c>
      <c r="G845" s="24">
        <v>7.5209999999999999</v>
      </c>
      <c r="H845" s="24">
        <v>3902.4569999999999</v>
      </c>
      <c r="I845" s="24">
        <v>4292.96</v>
      </c>
      <c r="J845" s="24">
        <v>1.39</v>
      </c>
      <c r="K845" s="24">
        <v>389.113</v>
      </c>
      <c r="L845" s="24">
        <v>1.39</v>
      </c>
      <c r="M845" s="24">
        <v>0.47399999999999998</v>
      </c>
      <c r="N845" s="20">
        <v>18.251999999999999</v>
      </c>
    </row>
    <row r="846" spans="1:14" s="20" customFormat="1">
      <c r="A846" s="20">
        <v>17887</v>
      </c>
      <c r="B846" s="20" t="s">
        <v>815</v>
      </c>
      <c r="C846" s="21">
        <v>42338</v>
      </c>
      <c r="D846" s="22">
        <v>30</v>
      </c>
      <c r="E846" s="23">
        <v>0.45700000000000002</v>
      </c>
      <c r="F846" s="24">
        <v>7.258</v>
      </c>
      <c r="G846" s="24">
        <v>7.2590000000000003</v>
      </c>
      <c r="H846" s="24">
        <v>3766.62</v>
      </c>
      <c r="I846" s="24">
        <v>4150.91</v>
      </c>
      <c r="J846" s="24">
        <v>1.34</v>
      </c>
      <c r="K846" s="24">
        <v>382.95</v>
      </c>
      <c r="L846" s="24">
        <v>1.34</v>
      </c>
      <c r="M846" s="24">
        <v>0.45800000000000002</v>
      </c>
      <c r="N846" s="20">
        <v>17.617999999999999</v>
      </c>
    </row>
    <row r="847" spans="1:14" s="20" customFormat="1">
      <c r="A847" s="20">
        <v>17886</v>
      </c>
      <c r="B847" s="20" t="s">
        <v>823</v>
      </c>
      <c r="C847" s="21">
        <v>42338</v>
      </c>
      <c r="D847" s="22">
        <v>30</v>
      </c>
      <c r="E847" s="23">
        <v>0.73299999999999998</v>
      </c>
      <c r="F847" s="24">
        <v>11.234</v>
      </c>
      <c r="G847" s="24">
        <v>11.211</v>
      </c>
      <c r="H847" s="24">
        <v>5817</v>
      </c>
      <c r="I847" s="24">
        <v>6295.04</v>
      </c>
      <c r="J847" s="24">
        <v>2.0699999999999998</v>
      </c>
      <c r="K847" s="24">
        <v>475.97</v>
      </c>
      <c r="L847" s="24">
        <v>0</v>
      </c>
      <c r="M847" s="24">
        <v>0.71</v>
      </c>
      <c r="N847" s="20">
        <v>27.207999999999998</v>
      </c>
    </row>
    <row r="848" spans="1:14" s="20" customFormat="1">
      <c r="A848" s="20">
        <v>17885</v>
      </c>
      <c r="B848" s="20" t="s">
        <v>816</v>
      </c>
      <c r="C848" s="21">
        <v>42338</v>
      </c>
      <c r="D848" s="22">
        <v>30</v>
      </c>
      <c r="E848" s="23">
        <v>0.79</v>
      </c>
      <c r="F848" s="24">
        <v>12.336</v>
      </c>
      <c r="G848" s="24">
        <v>12.324999999999999</v>
      </c>
      <c r="H848" s="24">
        <v>6394.7879999999996</v>
      </c>
      <c r="I848" s="24">
        <v>6899.25</v>
      </c>
      <c r="J848" s="24">
        <v>2.2799999999999998</v>
      </c>
      <c r="K848" s="24">
        <v>502.18200000000002</v>
      </c>
      <c r="L848" s="24">
        <v>0</v>
      </c>
      <c r="M848" s="24">
        <v>0.77900000000000003</v>
      </c>
      <c r="N848" s="20">
        <v>29.91</v>
      </c>
    </row>
    <row r="849" spans="1:14" s="20" customFormat="1">
      <c r="A849" s="20">
        <v>21282</v>
      </c>
      <c r="B849" s="20" t="s">
        <v>1023</v>
      </c>
      <c r="C849" s="21">
        <v>42338</v>
      </c>
      <c r="D849" s="22">
        <v>30</v>
      </c>
      <c r="E849" s="23">
        <v>1.304</v>
      </c>
      <c r="F849" s="24">
        <v>20.390999999999998</v>
      </c>
      <c r="G849" s="24">
        <v>20.373999999999999</v>
      </c>
      <c r="H849" s="24">
        <v>10570.642</v>
      </c>
      <c r="I849" s="24">
        <v>11153.11</v>
      </c>
      <c r="J849" s="24">
        <v>3.76</v>
      </c>
      <c r="K849" s="24">
        <v>578.70799999999997</v>
      </c>
      <c r="L849" s="24">
        <v>0</v>
      </c>
      <c r="M849" s="24">
        <v>1.2869999999999999</v>
      </c>
      <c r="N849" s="20">
        <v>49.444000000000003</v>
      </c>
    </row>
    <row r="850" spans="1:14" s="20" customFormat="1">
      <c r="A850" s="20">
        <v>13794</v>
      </c>
      <c r="B850" s="20" t="s">
        <v>935</v>
      </c>
      <c r="C850" s="21">
        <v>42338</v>
      </c>
      <c r="D850" s="22">
        <v>30</v>
      </c>
      <c r="E850" s="23">
        <v>1.224</v>
      </c>
      <c r="F850" s="24">
        <v>32.875</v>
      </c>
      <c r="G850" s="24">
        <v>32.953000000000003</v>
      </c>
      <c r="H850" s="24">
        <v>2502.6619999999998</v>
      </c>
      <c r="I850" s="24">
        <v>2836.03</v>
      </c>
      <c r="J850" s="24">
        <v>6.6</v>
      </c>
      <c r="K850" s="24">
        <v>326.76799999999997</v>
      </c>
      <c r="L850" s="24">
        <v>0</v>
      </c>
      <c r="M850" s="24">
        <v>1.302</v>
      </c>
      <c r="N850" s="20">
        <v>51.631</v>
      </c>
    </row>
    <row r="851" spans="1:14" s="20" customFormat="1">
      <c r="A851" s="20">
        <v>14926</v>
      </c>
      <c r="B851" s="20" t="s">
        <v>250</v>
      </c>
      <c r="C851" s="21">
        <v>42338</v>
      </c>
      <c r="D851" s="22">
        <v>30</v>
      </c>
      <c r="E851" s="23">
        <v>1.1519999999999999</v>
      </c>
      <c r="F851" s="24">
        <v>31.449000000000002</v>
      </c>
      <c r="G851" s="24">
        <v>31.541</v>
      </c>
      <c r="H851" s="24">
        <v>2395.4270000000001</v>
      </c>
      <c r="I851" s="24">
        <v>2722.49</v>
      </c>
      <c r="J851" s="24">
        <v>6.32</v>
      </c>
      <c r="K851" s="24">
        <v>320.74299999999999</v>
      </c>
      <c r="L851" s="24">
        <v>0</v>
      </c>
      <c r="M851" s="24">
        <v>1.244</v>
      </c>
      <c r="N851" s="20">
        <v>49.418999999999997</v>
      </c>
    </row>
    <row r="852" spans="1:14" s="20" customFormat="1">
      <c r="A852" s="20">
        <v>22291</v>
      </c>
      <c r="B852" s="20" t="s">
        <v>1038</v>
      </c>
      <c r="C852" s="21">
        <v>42338</v>
      </c>
      <c r="D852" s="22">
        <v>30</v>
      </c>
      <c r="E852" s="23">
        <v>10.992000000000001</v>
      </c>
      <c r="F852" s="24">
        <v>11.141999999999999</v>
      </c>
      <c r="G852" s="24">
        <v>10.441000000000001</v>
      </c>
      <c r="H852" s="24">
        <v>60000.737000000001</v>
      </c>
      <c r="I852" s="24">
        <v>62723.199999999997</v>
      </c>
      <c r="J852" s="24">
        <v>0</v>
      </c>
      <c r="K852" s="24">
        <v>2722.4630000000002</v>
      </c>
      <c r="L852" s="24">
        <v>0</v>
      </c>
      <c r="M852" s="24">
        <v>10.291</v>
      </c>
      <c r="N852" s="20">
        <v>1030.095</v>
      </c>
    </row>
    <row r="853" spans="1:14" s="20" customFormat="1">
      <c r="A853" s="20">
        <v>12399</v>
      </c>
      <c r="B853" s="20" t="s">
        <v>215</v>
      </c>
      <c r="C853" s="21">
        <v>42338</v>
      </c>
      <c r="D853" s="22">
        <v>30</v>
      </c>
      <c r="E853" s="23">
        <v>10.978999999999999</v>
      </c>
      <c r="F853" s="24">
        <v>1.1240000000000001</v>
      </c>
      <c r="G853" s="24">
        <v>0.249</v>
      </c>
      <c r="H853" s="24">
        <v>2038.423</v>
      </c>
      <c r="I853" s="24">
        <v>2413.5500000000002</v>
      </c>
      <c r="J853" s="24">
        <v>0</v>
      </c>
      <c r="K853" s="24">
        <v>375.12700000000001</v>
      </c>
      <c r="L853" s="24">
        <v>0</v>
      </c>
      <c r="M853" s="24">
        <v>10.103999999999999</v>
      </c>
      <c r="N853" s="20">
        <v>0</v>
      </c>
    </row>
    <row r="854" spans="1:14">
      <c r="A854">
        <v>14100</v>
      </c>
      <c r="B854" t="s">
        <v>251</v>
      </c>
      <c r="C854" s="7">
        <v>42338</v>
      </c>
      <c r="D854" s="5">
        <v>30</v>
      </c>
      <c r="E854" s="12">
        <v>18.431000000000001</v>
      </c>
      <c r="F854" s="6">
        <v>11.048999999999999</v>
      </c>
      <c r="G854" s="6">
        <v>11.137</v>
      </c>
      <c r="H854" s="6">
        <v>3046.3939999999998</v>
      </c>
      <c r="I854" s="6">
        <v>3469.4</v>
      </c>
      <c r="J854" s="6">
        <v>2.15</v>
      </c>
      <c r="K854" s="6">
        <v>420.85599999999999</v>
      </c>
      <c r="L854" s="6">
        <v>0</v>
      </c>
      <c r="M854" s="6">
        <v>18.518999999999998</v>
      </c>
      <c r="N854">
        <v>2.5680000000000001</v>
      </c>
    </row>
    <row r="855" spans="1:14">
      <c r="A855">
        <v>8243</v>
      </c>
      <c r="B855" t="s">
        <v>1049</v>
      </c>
      <c r="C855" s="7">
        <v>42338</v>
      </c>
      <c r="D855" s="5">
        <v>30</v>
      </c>
      <c r="E855" s="12">
        <v>0</v>
      </c>
      <c r="F855" s="6">
        <v>0</v>
      </c>
      <c r="G855" s="6">
        <v>0</v>
      </c>
      <c r="H855" s="6">
        <v>0</v>
      </c>
      <c r="I855" s="6">
        <v>7</v>
      </c>
      <c r="J855" s="6">
        <v>0</v>
      </c>
      <c r="K855" s="6">
        <v>7</v>
      </c>
      <c r="L855" s="6">
        <v>0</v>
      </c>
      <c r="M855" s="6">
        <v>0</v>
      </c>
      <c r="N855">
        <v>0</v>
      </c>
    </row>
    <row r="856" spans="1:14">
      <c r="A856">
        <v>9151</v>
      </c>
      <c r="B856" t="s">
        <v>614</v>
      </c>
      <c r="C856" s="7">
        <v>42338</v>
      </c>
      <c r="D856" s="5">
        <v>30</v>
      </c>
      <c r="E856" s="12">
        <v>19.623000000000001</v>
      </c>
      <c r="F856" s="6">
        <v>0.628</v>
      </c>
      <c r="G856" s="6">
        <v>1.585</v>
      </c>
      <c r="H856" s="6">
        <v>1260.7249999999999</v>
      </c>
      <c r="I856" s="6">
        <v>1434.93</v>
      </c>
      <c r="J856" s="6">
        <v>0.17</v>
      </c>
      <c r="K856" s="6">
        <v>174.035</v>
      </c>
      <c r="L856" s="6">
        <v>0</v>
      </c>
      <c r="M856" s="6">
        <v>20.58</v>
      </c>
      <c r="N856">
        <v>35.332999999999998</v>
      </c>
    </row>
    <row r="857" spans="1:14">
      <c r="A857">
        <v>9150</v>
      </c>
      <c r="B857" t="s">
        <v>615</v>
      </c>
      <c r="C857" s="7">
        <v>42338</v>
      </c>
      <c r="D857" s="5">
        <v>30</v>
      </c>
      <c r="E857" s="12">
        <v>89.820999999999998</v>
      </c>
      <c r="F857" s="6">
        <v>0.58899999999999997</v>
      </c>
      <c r="G857" s="6">
        <v>0.72899999999999998</v>
      </c>
      <c r="H857" s="6">
        <v>1253.0329999999999</v>
      </c>
      <c r="I857" s="6">
        <v>1461.66</v>
      </c>
      <c r="J857" s="6">
        <v>0</v>
      </c>
      <c r="K857" s="6">
        <v>208.62700000000001</v>
      </c>
      <c r="L857" s="6">
        <v>0</v>
      </c>
      <c r="M857" s="6">
        <v>89.960999999999999</v>
      </c>
      <c r="N857">
        <v>5.0730000000000004</v>
      </c>
    </row>
    <row r="858" spans="1:14">
      <c r="A858">
        <v>9149</v>
      </c>
      <c r="B858" t="s">
        <v>616</v>
      </c>
      <c r="C858" s="7">
        <v>42338</v>
      </c>
      <c r="D858" s="5">
        <v>30</v>
      </c>
      <c r="E858" s="12">
        <v>94.950999999999993</v>
      </c>
      <c r="F858" s="6">
        <v>80.126000000000005</v>
      </c>
      <c r="G858" s="6">
        <v>11.968</v>
      </c>
      <c r="H858" s="6">
        <v>1782.0150000000001</v>
      </c>
      <c r="I858" s="6">
        <v>2020.88</v>
      </c>
      <c r="J858" s="6">
        <v>2.2200000000000002</v>
      </c>
      <c r="K858" s="6">
        <v>236.64500000000001</v>
      </c>
      <c r="L858" s="6">
        <v>0</v>
      </c>
      <c r="M858" s="6">
        <v>26.792999999999999</v>
      </c>
      <c r="N858">
        <v>47.756</v>
      </c>
    </row>
    <row r="859" spans="1:14">
      <c r="A859">
        <v>9148</v>
      </c>
      <c r="B859" t="s">
        <v>617</v>
      </c>
      <c r="C859" s="7">
        <v>42338</v>
      </c>
      <c r="D859" s="5">
        <v>30</v>
      </c>
      <c r="E859" s="12">
        <v>105.72</v>
      </c>
      <c r="F859" s="6">
        <v>92.42</v>
      </c>
      <c r="G859" s="6">
        <v>12.638</v>
      </c>
      <c r="H859" s="6">
        <v>942.76700000000005</v>
      </c>
      <c r="I859" s="6">
        <v>1102.4100000000001</v>
      </c>
      <c r="J859" s="6">
        <v>2.4500000000000002</v>
      </c>
      <c r="K859" s="6">
        <v>157.19300000000001</v>
      </c>
      <c r="L859" s="6">
        <v>0</v>
      </c>
      <c r="M859" s="6">
        <v>25.937999999999999</v>
      </c>
      <c r="N859">
        <v>37.344999999999999</v>
      </c>
    </row>
    <row r="860" spans="1:14">
      <c r="A860">
        <v>9147</v>
      </c>
      <c r="B860" t="s">
        <v>618</v>
      </c>
      <c r="C860" s="7">
        <v>42338</v>
      </c>
      <c r="D860" s="5">
        <v>30</v>
      </c>
      <c r="E860" s="12">
        <v>81.186000000000007</v>
      </c>
      <c r="F860" s="6">
        <v>0.69799999999999995</v>
      </c>
      <c r="G860" s="6">
        <v>0.84</v>
      </c>
      <c r="H860" s="6">
        <v>1431.386</v>
      </c>
      <c r="I860" s="6">
        <v>1622.56</v>
      </c>
      <c r="J860" s="6">
        <v>9.33</v>
      </c>
      <c r="K860" s="6">
        <v>181.84399999999999</v>
      </c>
      <c r="L860" s="6">
        <v>9.33</v>
      </c>
      <c r="M860" s="6">
        <v>81.328000000000003</v>
      </c>
      <c r="N860">
        <v>145.458</v>
      </c>
    </row>
    <row r="861" spans="1:14">
      <c r="A861">
        <v>9146</v>
      </c>
      <c r="B861" t="s">
        <v>619</v>
      </c>
      <c r="C861" s="7">
        <v>42338</v>
      </c>
      <c r="D861" s="5">
        <v>30</v>
      </c>
      <c r="E861" s="12">
        <v>28.513000000000002</v>
      </c>
      <c r="F861" s="6">
        <v>0.79300000000000004</v>
      </c>
      <c r="G861" s="6">
        <v>1.091</v>
      </c>
      <c r="H861" s="6">
        <v>1614.8679999999999</v>
      </c>
      <c r="I861" s="6">
        <v>1806.46</v>
      </c>
      <c r="J861" s="6">
        <v>0.03</v>
      </c>
      <c r="K861" s="6">
        <v>191.56200000000001</v>
      </c>
      <c r="L861" s="6">
        <v>0</v>
      </c>
      <c r="M861" s="6">
        <v>28.811</v>
      </c>
      <c r="N861">
        <v>62.241</v>
      </c>
    </row>
    <row r="862" spans="1:14">
      <c r="A862">
        <v>9145</v>
      </c>
      <c r="B862" t="s">
        <v>620</v>
      </c>
      <c r="C862" s="7">
        <v>42338</v>
      </c>
      <c r="D862" s="5">
        <v>30</v>
      </c>
      <c r="E862" s="12">
        <v>31.206</v>
      </c>
      <c r="F862" s="6">
        <v>0.88200000000000001</v>
      </c>
      <c r="G862" s="6">
        <v>1.032</v>
      </c>
      <c r="H862" s="6">
        <v>1529.11</v>
      </c>
      <c r="I862" s="6">
        <v>1746.81</v>
      </c>
      <c r="J862" s="6">
        <v>18.55</v>
      </c>
      <c r="K862" s="6">
        <v>199.15</v>
      </c>
      <c r="L862" s="6">
        <v>18.52</v>
      </c>
      <c r="M862" s="6">
        <v>31.356000000000002</v>
      </c>
      <c r="N862">
        <v>58.933999999999997</v>
      </c>
    </row>
    <row r="863" spans="1:14">
      <c r="A863">
        <v>9144</v>
      </c>
      <c r="B863" t="s">
        <v>621</v>
      </c>
      <c r="C863" s="7">
        <v>42338</v>
      </c>
      <c r="D863" s="5">
        <v>30</v>
      </c>
      <c r="E863" s="12">
        <v>19.234000000000002</v>
      </c>
      <c r="F863" s="6">
        <v>0.624</v>
      </c>
      <c r="G863" s="6">
        <v>1.6279999999999999</v>
      </c>
      <c r="H863" s="6">
        <v>1294.914</v>
      </c>
      <c r="I863" s="6">
        <v>1469.71</v>
      </c>
      <c r="J863" s="6">
        <v>0.18</v>
      </c>
      <c r="K863" s="6">
        <v>174.61600000000001</v>
      </c>
      <c r="L863" s="6">
        <v>0</v>
      </c>
      <c r="M863" s="6">
        <v>20.238</v>
      </c>
      <c r="N863">
        <v>36.292000000000002</v>
      </c>
    </row>
    <row r="864" spans="1:14">
      <c r="A864">
        <v>9139</v>
      </c>
      <c r="B864" t="s">
        <v>622</v>
      </c>
      <c r="C864" s="7">
        <v>42338</v>
      </c>
      <c r="D864" s="5">
        <v>0</v>
      </c>
      <c r="E864" s="12">
        <v>26.231999999999999</v>
      </c>
      <c r="F864" s="6">
        <v>7.3999999999999996E-2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26.158000000000001</v>
      </c>
      <c r="N864">
        <v>0</v>
      </c>
    </row>
    <row r="865" spans="1:14">
      <c r="A865">
        <v>9138</v>
      </c>
      <c r="B865" t="s">
        <v>674</v>
      </c>
      <c r="C865" s="7">
        <v>42338</v>
      </c>
      <c r="D865" s="5">
        <v>30</v>
      </c>
      <c r="E865" s="12">
        <v>40.465000000000003</v>
      </c>
      <c r="F865" s="6">
        <v>1.429</v>
      </c>
      <c r="G865" s="6">
        <v>9.5050000000000008</v>
      </c>
      <c r="H865" s="6">
        <v>2711.2950000000001</v>
      </c>
      <c r="I865" s="6">
        <v>3068.58</v>
      </c>
      <c r="J865" s="6">
        <v>1.61</v>
      </c>
      <c r="K865" s="6">
        <v>355.67500000000001</v>
      </c>
      <c r="L865" s="6">
        <v>0</v>
      </c>
      <c r="M865" s="6">
        <v>48.540999999999997</v>
      </c>
      <c r="N865">
        <v>141.71799999999999</v>
      </c>
    </row>
    <row r="866" spans="1:14">
      <c r="A866">
        <v>9141</v>
      </c>
      <c r="B866" t="s">
        <v>623</v>
      </c>
      <c r="C866" s="7">
        <v>42338</v>
      </c>
      <c r="D866" s="5">
        <v>30</v>
      </c>
      <c r="E866" s="12">
        <v>36.234000000000002</v>
      </c>
      <c r="F866" s="6">
        <v>1.3009999999999999</v>
      </c>
      <c r="G866" s="6">
        <v>8.8949999999999996</v>
      </c>
      <c r="H866" s="6">
        <v>2536.6460000000002</v>
      </c>
      <c r="I866" s="6">
        <v>2778.74</v>
      </c>
      <c r="J866" s="6">
        <v>1.51</v>
      </c>
      <c r="K866" s="6">
        <v>240.584</v>
      </c>
      <c r="L866" s="6">
        <v>0</v>
      </c>
      <c r="M866" s="6">
        <v>43.828000000000003</v>
      </c>
      <c r="N866">
        <v>132.59</v>
      </c>
    </row>
    <row r="867" spans="1:14">
      <c r="A867">
        <v>9143</v>
      </c>
      <c r="B867" t="s">
        <v>624</v>
      </c>
      <c r="C867" s="7">
        <v>42338</v>
      </c>
      <c r="D867" s="5">
        <v>30</v>
      </c>
      <c r="E867" s="12">
        <v>20.311</v>
      </c>
      <c r="F867" s="6">
        <v>0.66300000000000003</v>
      </c>
      <c r="G867" s="6">
        <v>4.6130000000000004</v>
      </c>
      <c r="H867" s="6">
        <v>1274.4960000000001</v>
      </c>
      <c r="I867" s="6">
        <v>1449.02</v>
      </c>
      <c r="J867" s="6">
        <v>0.79</v>
      </c>
      <c r="K867" s="6">
        <v>173.73400000000001</v>
      </c>
      <c r="L867" s="6">
        <v>0</v>
      </c>
      <c r="M867" s="6">
        <v>24.260999999999999</v>
      </c>
      <c r="N867">
        <v>66.024000000000001</v>
      </c>
    </row>
    <row r="868" spans="1:14">
      <c r="A868">
        <v>9140</v>
      </c>
      <c r="B868" t="s">
        <v>675</v>
      </c>
      <c r="C868" s="7">
        <v>42338</v>
      </c>
      <c r="D868" s="5">
        <v>30</v>
      </c>
      <c r="E868" s="12">
        <v>58.23</v>
      </c>
      <c r="F868" s="6">
        <v>1.782</v>
      </c>
      <c r="G868" s="6">
        <v>16.09</v>
      </c>
      <c r="H868" s="6">
        <v>3629.5590000000002</v>
      </c>
      <c r="I868" s="6">
        <v>3973.96</v>
      </c>
      <c r="J868" s="6">
        <v>2.84</v>
      </c>
      <c r="K868" s="6">
        <v>341.56099999999998</v>
      </c>
      <c r="L868" s="6">
        <v>0</v>
      </c>
      <c r="M868" s="6">
        <v>72.537999999999997</v>
      </c>
      <c r="N868">
        <v>211.18299999999999</v>
      </c>
    </row>
    <row r="869" spans="1:14">
      <c r="A869">
        <v>9137</v>
      </c>
      <c r="B869" t="s">
        <v>676</v>
      </c>
      <c r="C869" s="7">
        <v>42338</v>
      </c>
      <c r="D869" s="5">
        <v>30</v>
      </c>
      <c r="E869" s="12">
        <v>38.134</v>
      </c>
      <c r="F869" s="6">
        <v>1.2649999999999999</v>
      </c>
      <c r="G869" s="6">
        <v>11.118</v>
      </c>
      <c r="H869" s="6">
        <v>2573.9690000000001</v>
      </c>
      <c r="I869" s="6">
        <v>2924.32</v>
      </c>
      <c r="J869" s="6">
        <v>1.95</v>
      </c>
      <c r="K869" s="6">
        <v>348.40100000000001</v>
      </c>
      <c r="L869" s="6">
        <v>0</v>
      </c>
      <c r="M869" s="6">
        <v>47.987000000000002</v>
      </c>
      <c r="N869">
        <v>150.96299999999999</v>
      </c>
    </row>
    <row r="870" spans="1:14">
      <c r="A870">
        <v>9142</v>
      </c>
      <c r="B870" t="s">
        <v>625</v>
      </c>
      <c r="C870" s="7">
        <v>42338</v>
      </c>
      <c r="D870" s="5">
        <v>30</v>
      </c>
      <c r="E870" s="12">
        <v>51.643000000000001</v>
      </c>
      <c r="F870" s="6">
        <v>1.55</v>
      </c>
      <c r="G870" s="6">
        <v>13.372999999999999</v>
      </c>
      <c r="H870" s="6">
        <v>3016.623</v>
      </c>
      <c r="I870" s="6">
        <v>3390.83</v>
      </c>
      <c r="J870" s="6">
        <v>2.36</v>
      </c>
      <c r="K870" s="6">
        <v>371.84699999999998</v>
      </c>
      <c r="L870" s="6">
        <v>0</v>
      </c>
      <c r="M870" s="6">
        <v>63.466000000000001</v>
      </c>
      <c r="N870">
        <v>175.52</v>
      </c>
    </row>
    <row r="871" spans="1:14">
      <c r="A871">
        <v>9167</v>
      </c>
      <c r="B871" t="s">
        <v>626</v>
      </c>
      <c r="C871" s="7">
        <v>42338</v>
      </c>
      <c r="D871" s="5">
        <v>15</v>
      </c>
      <c r="E871" s="12">
        <v>25.486000000000001</v>
      </c>
      <c r="F871" s="6">
        <v>1.2999999999999999E-2</v>
      </c>
      <c r="G871" s="6">
        <v>1E-3</v>
      </c>
      <c r="H871" s="6">
        <v>1.8049999999999999</v>
      </c>
      <c r="I871" s="6">
        <v>142.93</v>
      </c>
      <c r="J871" s="6">
        <v>0</v>
      </c>
      <c r="K871" s="6">
        <v>141.125</v>
      </c>
      <c r="L871" s="6">
        <v>0</v>
      </c>
      <c r="M871" s="6">
        <v>25.474</v>
      </c>
      <c r="N871">
        <v>7.0000000000000001E-3</v>
      </c>
    </row>
    <row r="872" spans="1:14">
      <c r="A872">
        <v>9166</v>
      </c>
      <c r="B872" t="s">
        <v>627</v>
      </c>
      <c r="C872" s="7">
        <v>42338</v>
      </c>
      <c r="D872" s="5">
        <v>30</v>
      </c>
      <c r="E872" s="12">
        <v>49.106999999999999</v>
      </c>
      <c r="F872" s="6">
        <v>1.1850000000000001</v>
      </c>
      <c r="G872" s="6">
        <v>1.64</v>
      </c>
      <c r="H872" s="6">
        <v>2491.7249999999999</v>
      </c>
      <c r="I872" s="6">
        <v>2835.61</v>
      </c>
      <c r="J872" s="6">
        <v>0.04</v>
      </c>
      <c r="K872" s="6">
        <v>343.84500000000003</v>
      </c>
      <c r="L872" s="6">
        <v>0</v>
      </c>
      <c r="M872" s="6">
        <v>49.561999999999998</v>
      </c>
      <c r="N872">
        <v>20.422000000000001</v>
      </c>
    </row>
    <row r="873" spans="1:14">
      <c r="A873">
        <v>9165</v>
      </c>
      <c r="B873" t="s">
        <v>628</v>
      </c>
      <c r="C873" s="7">
        <v>42338</v>
      </c>
      <c r="D873" s="5">
        <v>30</v>
      </c>
      <c r="E873" s="12">
        <v>29.972000000000001</v>
      </c>
      <c r="F873" s="6">
        <v>0.70099999999999996</v>
      </c>
      <c r="G873" s="6">
        <v>2.1909999999999998</v>
      </c>
      <c r="H873" s="6">
        <v>1435.47</v>
      </c>
      <c r="I873" s="6">
        <v>1658.01</v>
      </c>
      <c r="J873" s="6">
        <v>0.28000000000000003</v>
      </c>
      <c r="K873" s="6">
        <v>222.26</v>
      </c>
      <c r="L873" s="6">
        <v>0</v>
      </c>
      <c r="M873" s="6">
        <v>31.462</v>
      </c>
      <c r="N873">
        <v>10.318</v>
      </c>
    </row>
    <row r="874" spans="1:14">
      <c r="A874">
        <v>9164</v>
      </c>
      <c r="B874" t="s">
        <v>629</v>
      </c>
      <c r="C874" s="7">
        <v>42338</v>
      </c>
      <c r="D874" s="5">
        <v>30</v>
      </c>
      <c r="E874" s="12">
        <v>85.805999999999997</v>
      </c>
      <c r="F874" s="6">
        <v>0.46200000000000002</v>
      </c>
      <c r="G874" s="6">
        <v>0.59699999999999998</v>
      </c>
      <c r="H874" s="6">
        <v>923.86699999999996</v>
      </c>
      <c r="I874" s="6">
        <v>1113.8399999999999</v>
      </c>
      <c r="J874" s="6">
        <v>0.01</v>
      </c>
      <c r="K874" s="6">
        <v>189.96299999999999</v>
      </c>
      <c r="L874" s="6">
        <v>0</v>
      </c>
      <c r="M874" s="6">
        <v>85.941000000000003</v>
      </c>
      <c r="N874">
        <v>135.00800000000001</v>
      </c>
    </row>
    <row r="875" spans="1:14">
      <c r="A875">
        <v>9214</v>
      </c>
      <c r="B875" t="s">
        <v>630</v>
      </c>
      <c r="C875" s="7">
        <v>42338</v>
      </c>
      <c r="D875" s="5">
        <v>30</v>
      </c>
      <c r="E875" s="12">
        <v>67.222999999999999</v>
      </c>
      <c r="F875" s="6">
        <v>0.498</v>
      </c>
      <c r="G875" s="6">
        <v>1.006</v>
      </c>
      <c r="H875" s="6">
        <v>982.74800000000005</v>
      </c>
      <c r="I875" s="6">
        <v>1175.92</v>
      </c>
      <c r="J875" s="6">
        <v>0.09</v>
      </c>
      <c r="K875" s="6">
        <v>193.08199999999999</v>
      </c>
      <c r="L875" s="6">
        <v>0</v>
      </c>
      <c r="M875" s="6">
        <v>67.730999999999995</v>
      </c>
      <c r="N875">
        <v>72.959999999999994</v>
      </c>
    </row>
    <row r="876" spans="1:14">
      <c r="A876">
        <v>9163</v>
      </c>
      <c r="B876" t="s">
        <v>631</v>
      </c>
      <c r="C876" s="7">
        <v>42338</v>
      </c>
      <c r="D876" s="5">
        <v>30</v>
      </c>
      <c r="E876" s="12">
        <v>48.350999999999999</v>
      </c>
      <c r="F876" s="6">
        <v>0.89200000000000002</v>
      </c>
      <c r="G876" s="6">
        <v>1.4450000000000001</v>
      </c>
      <c r="H876" s="6">
        <v>1923.425</v>
      </c>
      <c r="I876" s="6">
        <v>2166.4</v>
      </c>
      <c r="J876" s="6">
        <v>7.0000000000000007E-2</v>
      </c>
      <c r="K876" s="6">
        <v>242.905</v>
      </c>
      <c r="L876" s="6">
        <v>0</v>
      </c>
      <c r="M876" s="6">
        <v>48.904000000000003</v>
      </c>
      <c r="N876">
        <v>102.886</v>
      </c>
    </row>
    <row r="877" spans="1:14">
      <c r="A877">
        <v>9162</v>
      </c>
      <c r="B877" t="s">
        <v>632</v>
      </c>
      <c r="C877" s="7">
        <v>42338</v>
      </c>
      <c r="D877" s="5">
        <v>30</v>
      </c>
      <c r="E877" s="12">
        <v>89.680999999999997</v>
      </c>
      <c r="F877" s="6">
        <v>0.76400000000000001</v>
      </c>
      <c r="G877" s="6">
        <v>0.93300000000000005</v>
      </c>
      <c r="H877" s="6">
        <v>1538.2270000000001</v>
      </c>
      <c r="I877" s="6">
        <v>1725.73</v>
      </c>
      <c r="J877" s="6">
        <v>0</v>
      </c>
      <c r="K877" s="6">
        <v>187.50299999999999</v>
      </c>
      <c r="L877" s="6">
        <v>0</v>
      </c>
      <c r="M877" s="6">
        <v>89.85</v>
      </c>
      <c r="N877">
        <v>69.518000000000001</v>
      </c>
    </row>
    <row r="878" spans="1:14">
      <c r="C878" s="7"/>
    </row>
    <row r="879" spans="1:14">
      <c r="C879" s="7"/>
    </row>
    <row r="880" spans="1:14">
      <c r="C880" s="7"/>
    </row>
    <row r="881" spans="3:3">
      <c r="C881" s="7"/>
    </row>
    <row r="882" spans="3:3">
      <c r="C882" s="7"/>
    </row>
    <row r="883" spans="3:3">
      <c r="C883" s="7"/>
    </row>
    <row r="884" spans="3:3">
      <c r="C884" s="7"/>
    </row>
    <row r="885" spans="3:3">
      <c r="C885" s="7"/>
    </row>
    <row r="886" spans="3:3">
      <c r="C886" s="7"/>
    </row>
    <row r="887" spans="3:3">
      <c r="C887" s="7"/>
    </row>
    <row r="888" spans="3:3">
      <c r="C888" s="7"/>
    </row>
    <row r="889" spans="3:3">
      <c r="C889" s="7"/>
    </row>
    <row r="890" spans="3:3">
      <c r="C890" s="7"/>
    </row>
    <row r="891" spans="3:3">
      <c r="C891" s="7"/>
    </row>
    <row r="892" spans="3:3">
      <c r="C892" s="7"/>
    </row>
    <row r="893" spans="3:3">
      <c r="C893" s="7"/>
    </row>
    <row r="894" spans="3:3">
      <c r="C894" s="7"/>
    </row>
    <row r="895" spans="3:3">
      <c r="C895" s="7"/>
    </row>
    <row r="896" spans="3:3">
      <c r="C896" s="7"/>
    </row>
    <row r="897" spans="3:3">
      <c r="C897" s="7"/>
    </row>
    <row r="898" spans="3:3">
      <c r="C898" s="7"/>
    </row>
    <row r="899" spans="3:3">
      <c r="C899" s="7"/>
    </row>
    <row r="900" spans="3:3">
      <c r="C900" s="7"/>
    </row>
    <row r="901" spans="3:3">
      <c r="C901" s="7"/>
    </row>
    <row r="902" spans="3:3">
      <c r="C902" s="7"/>
    </row>
    <row r="903" spans="3:3">
      <c r="C903" s="7"/>
    </row>
    <row r="904" spans="3:3">
      <c r="C904" s="7"/>
    </row>
    <row r="905" spans="3:3">
      <c r="C905" s="7"/>
    </row>
    <row r="906" spans="3:3">
      <c r="C906" s="7"/>
    </row>
    <row r="907" spans="3:3">
      <c r="C907" s="7"/>
    </row>
    <row r="908" spans="3:3">
      <c r="C908" s="7"/>
    </row>
    <row r="909" spans="3:3">
      <c r="C909" s="7"/>
    </row>
    <row r="910" spans="3:3">
      <c r="C910" s="7"/>
    </row>
    <row r="911" spans="3:3">
      <c r="C911" s="7"/>
    </row>
    <row r="912" spans="3:3">
      <c r="C912" s="7"/>
    </row>
    <row r="913" spans="3:3">
      <c r="C913" s="7"/>
    </row>
    <row r="914" spans="3:3">
      <c r="C914" s="7"/>
    </row>
    <row r="915" spans="3:3">
      <c r="C915" s="7"/>
    </row>
    <row r="916" spans="3:3">
      <c r="C916" s="7"/>
    </row>
    <row r="917" spans="3:3">
      <c r="C917" s="7"/>
    </row>
    <row r="918" spans="3:3">
      <c r="C918" s="7"/>
    </row>
    <row r="919" spans="3:3">
      <c r="C919" s="7"/>
    </row>
    <row r="920" spans="3:3">
      <c r="C920" s="7"/>
    </row>
    <row r="921" spans="3:3">
      <c r="C921" s="7"/>
    </row>
    <row r="922" spans="3:3">
      <c r="C922" s="7"/>
    </row>
    <row r="923" spans="3:3">
      <c r="C923" s="7"/>
    </row>
    <row r="924" spans="3:3">
      <c r="C924" s="7"/>
    </row>
    <row r="925" spans="3:3">
      <c r="C925" s="7"/>
    </row>
    <row r="926" spans="3:3">
      <c r="C926" s="7"/>
    </row>
    <row r="927" spans="3:3">
      <c r="C927" s="7"/>
    </row>
    <row r="928" spans="3:3">
      <c r="C928" s="7"/>
    </row>
    <row r="929" spans="3:3">
      <c r="C929" s="7"/>
    </row>
    <row r="930" spans="3:3">
      <c r="C930" s="7"/>
    </row>
    <row r="931" spans="3:3">
      <c r="C931" s="7"/>
    </row>
    <row r="932" spans="3:3">
      <c r="C932" s="7"/>
    </row>
    <row r="933" spans="3:3">
      <c r="C933" s="7"/>
    </row>
    <row r="934" spans="3:3">
      <c r="C934" s="7"/>
    </row>
    <row r="935" spans="3:3">
      <c r="C935" s="7"/>
    </row>
    <row r="936" spans="3:3">
      <c r="C936" s="7"/>
    </row>
    <row r="937" spans="3:3">
      <c r="C937" s="7"/>
    </row>
    <row r="938" spans="3:3">
      <c r="C938" s="7"/>
    </row>
    <row r="939" spans="3:3">
      <c r="C939" s="7"/>
    </row>
    <row r="940" spans="3:3">
      <c r="C940" s="7"/>
    </row>
    <row r="941" spans="3:3">
      <c r="C941" s="7"/>
    </row>
    <row r="942" spans="3:3">
      <c r="C942" s="7"/>
    </row>
    <row r="943" spans="3:3">
      <c r="C943" s="7"/>
    </row>
    <row r="944" spans="3:3">
      <c r="C944" s="7"/>
    </row>
    <row r="945" spans="3:3">
      <c r="C945" s="7"/>
    </row>
    <row r="946" spans="3:3">
      <c r="C946" s="7"/>
    </row>
    <row r="947" spans="3:3">
      <c r="C947" s="7"/>
    </row>
    <row r="948" spans="3:3">
      <c r="C948" s="7"/>
    </row>
    <row r="949" spans="3:3">
      <c r="C949" s="7"/>
    </row>
    <row r="950" spans="3:3">
      <c r="C950" s="7"/>
    </row>
    <row r="951" spans="3:3">
      <c r="C951" s="7"/>
    </row>
    <row r="952" spans="3:3">
      <c r="C952" s="7"/>
    </row>
    <row r="953" spans="3:3">
      <c r="C953" s="7"/>
    </row>
    <row r="954" spans="3:3">
      <c r="C954" s="7"/>
    </row>
    <row r="955" spans="3:3">
      <c r="C955" s="7"/>
    </row>
    <row r="956" spans="3:3">
      <c r="C956" s="7"/>
    </row>
    <row r="957" spans="3:3">
      <c r="C957" s="7"/>
    </row>
    <row r="958" spans="3:3">
      <c r="C958" s="7"/>
    </row>
    <row r="959" spans="3:3">
      <c r="C959" s="7"/>
    </row>
    <row r="960" spans="3:3">
      <c r="C960" s="7"/>
    </row>
    <row r="961" spans="3:3">
      <c r="C961" s="7"/>
    </row>
    <row r="962" spans="3:3">
      <c r="C962" s="7"/>
    </row>
    <row r="963" spans="3:3">
      <c r="C963" s="7"/>
    </row>
    <row r="964" spans="3:3">
      <c r="C964" s="7"/>
    </row>
    <row r="965" spans="3:3">
      <c r="C965" s="7"/>
    </row>
    <row r="966" spans="3:3">
      <c r="C966" s="7"/>
    </row>
    <row r="967" spans="3:3">
      <c r="C967" s="7"/>
    </row>
    <row r="968" spans="3:3">
      <c r="C968" s="7"/>
    </row>
    <row r="969" spans="3:3">
      <c r="C969" s="7"/>
    </row>
    <row r="970" spans="3:3">
      <c r="C970" s="7"/>
    </row>
    <row r="971" spans="3:3">
      <c r="C971" s="7"/>
    </row>
    <row r="972" spans="3:3">
      <c r="C972" s="7"/>
    </row>
    <row r="973" spans="3:3">
      <c r="C973" s="7"/>
    </row>
    <row r="974" spans="3:3">
      <c r="C974" s="7"/>
    </row>
    <row r="975" spans="3:3">
      <c r="C975" s="7"/>
    </row>
    <row r="976" spans="3:3">
      <c r="C976" s="7"/>
    </row>
    <row r="977" spans="3:3">
      <c r="C977" s="7"/>
    </row>
    <row r="978" spans="3:3">
      <c r="C978" s="7"/>
    </row>
    <row r="979" spans="3:3">
      <c r="C979" s="7"/>
    </row>
    <row r="980" spans="3:3">
      <c r="C980" s="7"/>
    </row>
    <row r="981" spans="3:3">
      <c r="C981" s="7"/>
    </row>
    <row r="982" spans="3:3">
      <c r="C982" s="7"/>
    </row>
    <row r="983" spans="3:3">
      <c r="C983" s="7"/>
    </row>
    <row r="984" spans="3:3">
      <c r="C984" s="7"/>
    </row>
    <row r="985" spans="3:3">
      <c r="C985" s="7"/>
    </row>
    <row r="986" spans="3:3">
      <c r="C986" s="7"/>
    </row>
    <row r="987" spans="3:3">
      <c r="C987" s="7"/>
    </row>
    <row r="988" spans="3:3">
      <c r="C988" s="7"/>
    </row>
    <row r="989" spans="3:3">
      <c r="C989" s="7"/>
    </row>
    <row r="990" spans="3:3">
      <c r="C990" s="7"/>
    </row>
    <row r="991" spans="3:3">
      <c r="C991" s="7"/>
    </row>
    <row r="992" spans="3:3">
      <c r="C992" s="7"/>
    </row>
    <row r="993" spans="3:3">
      <c r="C993" s="7"/>
    </row>
    <row r="994" spans="3:3">
      <c r="C994" s="7"/>
    </row>
    <row r="995" spans="3:3">
      <c r="C995" s="7"/>
    </row>
    <row r="996" spans="3:3">
      <c r="C996" s="7"/>
    </row>
    <row r="997" spans="3:3">
      <c r="C997" s="7"/>
    </row>
    <row r="998" spans="3:3">
      <c r="C998" s="7"/>
    </row>
    <row r="999" spans="3:3">
      <c r="C999" s="7"/>
    </row>
    <row r="1000" spans="3:3">
      <c r="C1000" s="7"/>
    </row>
    <row r="1001" spans="3:3">
      <c r="C1001" s="7"/>
    </row>
    <row r="1002" spans="3:3">
      <c r="C1002" s="7"/>
    </row>
    <row r="1003" spans="3:3">
      <c r="C1003" s="7"/>
    </row>
    <row r="1004" spans="3:3">
      <c r="C1004" s="7"/>
    </row>
    <row r="1005" spans="3:3">
      <c r="C1005" s="7"/>
    </row>
    <row r="1006" spans="3:3">
      <c r="C1006" s="7"/>
    </row>
    <row r="1007" spans="3:3">
      <c r="C1007" s="7"/>
    </row>
    <row r="1008" spans="3:3">
      <c r="C1008" s="7"/>
    </row>
    <row r="1009" spans="3:3">
      <c r="C1009" s="7"/>
    </row>
    <row r="1010" spans="3:3">
      <c r="C1010" s="7"/>
    </row>
    <row r="1011" spans="3:3">
      <c r="C1011" s="7"/>
    </row>
    <row r="1012" spans="3:3">
      <c r="C1012" s="7"/>
    </row>
    <row r="1013" spans="3:3">
      <c r="C1013" s="7"/>
    </row>
    <row r="1014" spans="3:3">
      <c r="C1014" s="7"/>
    </row>
    <row r="1015" spans="3:3">
      <c r="C1015" s="7"/>
    </row>
    <row r="1016" spans="3:3">
      <c r="C1016" s="7"/>
    </row>
    <row r="1017" spans="3:3">
      <c r="C1017" s="7"/>
    </row>
    <row r="1018" spans="3:3">
      <c r="C1018" s="7"/>
    </row>
    <row r="1019" spans="3:3">
      <c r="C1019" s="7"/>
    </row>
    <row r="1020" spans="3:3">
      <c r="C1020" s="7"/>
    </row>
    <row r="1021" spans="3:3">
      <c r="C1021" s="7"/>
    </row>
    <row r="1022" spans="3:3">
      <c r="C1022" s="7"/>
    </row>
    <row r="1023" spans="3:3">
      <c r="C1023" s="7"/>
    </row>
    <row r="1024" spans="3:3">
      <c r="C1024" s="7"/>
    </row>
    <row r="1025" spans="3:3">
      <c r="C1025" s="7"/>
    </row>
    <row r="1026" spans="3:3">
      <c r="C1026" s="7"/>
    </row>
    <row r="1027" spans="3:3">
      <c r="C1027" s="7"/>
    </row>
    <row r="1028" spans="3:3">
      <c r="C1028" s="7"/>
    </row>
    <row r="1029" spans="3:3">
      <c r="C1029" s="7"/>
    </row>
    <row r="1030" spans="3:3">
      <c r="C1030" s="7"/>
    </row>
    <row r="1031" spans="3:3">
      <c r="C1031" s="7"/>
    </row>
    <row r="1032" spans="3:3">
      <c r="C1032" s="7"/>
    </row>
    <row r="1033" spans="3:3">
      <c r="C1033" s="7"/>
    </row>
    <row r="1034" spans="3:3">
      <c r="C1034" s="7"/>
    </row>
    <row r="1035" spans="3:3">
      <c r="C1035" s="7"/>
    </row>
    <row r="1036" spans="3:3">
      <c r="C1036" s="7"/>
    </row>
    <row r="1037" spans="3:3">
      <c r="C1037" s="7"/>
    </row>
    <row r="1038" spans="3:3">
      <c r="C1038" s="7"/>
    </row>
    <row r="1039" spans="3:3">
      <c r="C1039" s="7"/>
    </row>
    <row r="1040" spans="3:3">
      <c r="C1040" s="7"/>
    </row>
    <row r="1041" spans="3:3">
      <c r="C1041" s="7"/>
    </row>
    <row r="1042" spans="3:3">
      <c r="C1042" s="7"/>
    </row>
    <row r="1043" spans="3:3">
      <c r="C1043" s="7"/>
    </row>
    <row r="1044" spans="3:3">
      <c r="C1044" s="7"/>
    </row>
    <row r="1045" spans="3:3">
      <c r="C1045" s="7"/>
    </row>
    <row r="1046" spans="3:3">
      <c r="C1046" s="7"/>
    </row>
    <row r="1047" spans="3:3">
      <c r="C1047" s="7"/>
    </row>
    <row r="1048" spans="3:3">
      <c r="C1048" s="7"/>
    </row>
    <row r="1049" spans="3:3">
      <c r="C1049" s="7"/>
    </row>
    <row r="1050" spans="3:3">
      <c r="C1050" s="7"/>
    </row>
    <row r="1051" spans="3:3">
      <c r="C1051" s="7"/>
    </row>
    <row r="1052" spans="3:3">
      <c r="C1052" s="7"/>
    </row>
    <row r="1053" spans="3:3">
      <c r="C1053" s="7"/>
    </row>
    <row r="1054" spans="3:3">
      <c r="C1054" s="7"/>
    </row>
    <row r="1055" spans="3:3">
      <c r="C1055" s="7"/>
    </row>
    <row r="1056" spans="3:3">
      <c r="C1056" s="7"/>
    </row>
    <row r="1057" spans="3:3">
      <c r="C1057" s="7"/>
    </row>
    <row r="1058" spans="3:3">
      <c r="C1058" s="7"/>
    </row>
    <row r="1059" spans="3:3">
      <c r="C1059" s="7"/>
    </row>
    <row r="1060" spans="3:3">
      <c r="C1060" s="7"/>
    </row>
    <row r="1061" spans="3:3">
      <c r="C1061" s="7"/>
    </row>
    <row r="1062" spans="3:3">
      <c r="C1062" s="7"/>
    </row>
    <row r="1063" spans="3:3">
      <c r="C1063" s="7"/>
    </row>
    <row r="1064" spans="3:3">
      <c r="C1064" s="7"/>
    </row>
    <row r="1065" spans="3:3">
      <c r="C1065" s="7"/>
    </row>
    <row r="1066" spans="3:3">
      <c r="C1066" s="7"/>
    </row>
    <row r="1067" spans="3:3">
      <c r="C1067" s="7"/>
    </row>
    <row r="1068" spans="3:3">
      <c r="C1068" s="7"/>
    </row>
    <row r="1069" spans="3:3">
      <c r="C1069" s="7"/>
    </row>
    <row r="1070" spans="3:3">
      <c r="C1070" s="7"/>
    </row>
    <row r="1071" spans="3:3">
      <c r="C1071" s="7"/>
    </row>
    <row r="1072" spans="3:3">
      <c r="C1072" s="7"/>
    </row>
    <row r="1073" spans="3:3">
      <c r="C1073" s="7"/>
    </row>
    <row r="1074" spans="3:3">
      <c r="C1074" s="7"/>
    </row>
    <row r="1075" spans="3:3">
      <c r="C1075" s="7"/>
    </row>
    <row r="1076" spans="3:3">
      <c r="C1076" s="7"/>
    </row>
    <row r="1077" spans="3:3">
      <c r="C1077" s="7"/>
    </row>
    <row r="1078" spans="3:3">
      <c r="C1078" s="7"/>
    </row>
    <row r="1079" spans="3:3">
      <c r="C1079" s="7"/>
    </row>
    <row r="1080" spans="3:3">
      <c r="C1080" s="7"/>
    </row>
    <row r="1081" spans="3:3">
      <c r="C1081" s="7"/>
    </row>
    <row r="1082" spans="3:3">
      <c r="C1082" s="7"/>
    </row>
    <row r="1083" spans="3:3">
      <c r="C1083" s="7"/>
    </row>
    <row r="1084" spans="3:3">
      <c r="C1084" s="7"/>
    </row>
    <row r="1085" spans="3:3">
      <c r="C1085" s="7"/>
    </row>
    <row r="1086" spans="3:3">
      <c r="C1086" s="7"/>
    </row>
    <row r="1087" spans="3:3">
      <c r="C1087" s="7"/>
    </row>
    <row r="1088" spans="3:3">
      <c r="C1088" s="7"/>
    </row>
    <row r="1089" spans="3:3">
      <c r="C1089" s="7"/>
    </row>
    <row r="1090" spans="3:3">
      <c r="C1090" s="7"/>
    </row>
    <row r="1091" spans="3:3">
      <c r="C1091" s="7"/>
    </row>
    <row r="1092" spans="3:3">
      <c r="C1092" s="7"/>
    </row>
    <row r="1093" spans="3:3">
      <c r="C1093" s="7"/>
    </row>
    <row r="1094" spans="3:3">
      <c r="C1094" s="7"/>
    </row>
    <row r="1095" spans="3:3">
      <c r="C1095" s="7"/>
    </row>
    <row r="1096" spans="3:3">
      <c r="C1096" s="7"/>
    </row>
    <row r="1097" spans="3:3">
      <c r="C1097" s="7"/>
    </row>
    <row r="1098" spans="3:3">
      <c r="C1098" s="7"/>
    </row>
    <row r="1099" spans="3:3">
      <c r="C1099" s="7"/>
    </row>
    <row r="1100" spans="3:3">
      <c r="C1100" s="7"/>
    </row>
    <row r="1101" spans="3:3">
      <c r="C1101" s="7"/>
    </row>
    <row r="1102" spans="3:3">
      <c r="C1102" s="7"/>
    </row>
    <row r="1103" spans="3:3">
      <c r="C1103" s="7"/>
    </row>
    <row r="1104" spans="3:3">
      <c r="C1104" s="7"/>
    </row>
    <row r="1105" spans="3:3">
      <c r="C1105" s="7"/>
    </row>
    <row r="1106" spans="3:3">
      <c r="C1106" s="7"/>
    </row>
    <row r="1107" spans="3:3">
      <c r="C1107" s="7"/>
    </row>
    <row r="1108" spans="3:3">
      <c r="C1108" s="7"/>
    </row>
    <row r="1109" spans="3:3">
      <c r="C1109" s="7"/>
    </row>
    <row r="1110" spans="3:3">
      <c r="C1110" s="7"/>
    </row>
    <row r="1111" spans="3:3">
      <c r="C1111" s="7"/>
    </row>
    <row r="1112" spans="3:3">
      <c r="C1112" s="7"/>
    </row>
    <row r="1113" spans="3:3">
      <c r="C1113" s="7"/>
    </row>
    <row r="1114" spans="3:3">
      <c r="C1114" s="7"/>
    </row>
    <row r="1115" spans="3:3">
      <c r="C1115" s="7"/>
    </row>
    <row r="1116" spans="3:3">
      <c r="C1116" s="7"/>
    </row>
    <row r="1117" spans="3:3">
      <c r="C1117" s="7"/>
    </row>
    <row r="1118" spans="3:3">
      <c r="C1118" s="7"/>
    </row>
    <row r="1119" spans="3:3">
      <c r="C1119" s="7"/>
    </row>
    <row r="1120" spans="3:3">
      <c r="C1120" s="7"/>
    </row>
    <row r="1121" spans="3:3">
      <c r="C1121" s="7"/>
    </row>
    <row r="1122" spans="3:3">
      <c r="C1122" s="7"/>
    </row>
    <row r="1123" spans="3:3">
      <c r="C1123" s="7"/>
    </row>
    <row r="1124" spans="3:3">
      <c r="C1124" s="7"/>
    </row>
    <row r="1125" spans="3:3">
      <c r="C1125" s="7"/>
    </row>
    <row r="1126" spans="3:3">
      <c r="C1126" s="7"/>
    </row>
    <row r="1127" spans="3:3">
      <c r="C1127" s="7"/>
    </row>
    <row r="1128" spans="3:3">
      <c r="C1128" s="7"/>
    </row>
    <row r="1129" spans="3:3">
      <c r="C1129" s="7"/>
    </row>
    <row r="1130" spans="3:3">
      <c r="C1130" s="7"/>
    </row>
    <row r="1131" spans="3:3">
      <c r="C1131" s="7"/>
    </row>
    <row r="1132" spans="3:3">
      <c r="C1132" s="7"/>
    </row>
    <row r="1133" spans="3:3">
      <c r="C1133" s="7"/>
    </row>
    <row r="1134" spans="3:3">
      <c r="C1134" s="7"/>
    </row>
    <row r="1135" spans="3:3">
      <c r="C1135" s="7"/>
    </row>
    <row r="1136" spans="3:3">
      <c r="C1136" s="7"/>
    </row>
    <row r="1137" spans="3:3">
      <c r="C1137" s="7"/>
    </row>
    <row r="1138" spans="3:3">
      <c r="C1138" s="7"/>
    </row>
    <row r="1139" spans="3:3">
      <c r="C1139" s="7"/>
    </row>
    <row r="1140" spans="3:3">
      <c r="C1140" s="7"/>
    </row>
    <row r="1141" spans="3:3">
      <c r="C1141" s="7"/>
    </row>
    <row r="1142" spans="3:3">
      <c r="C1142" s="7"/>
    </row>
    <row r="1143" spans="3:3">
      <c r="C1143" s="7"/>
    </row>
    <row r="1144" spans="3:3">
      <c r="C1144" s="7"/>
    </row>
    <row r="1145" spans="3:3">
      <c r="C1145" s="7"/>
    </row>
    <row r="1146" spans="3:3">
      <c r="C1146" s="7"/>
    </row>
    <row r="1147" spans="3:3">
      <c r="C1147" s="7"/>
    </row>
    <row r="1148" spans="3:3">
      <c r="C1148" s="7"/>
    </row>
    <row r="1149" spans="3:3">
      <c r="C1149" s="7"/>
    </row>
    <row r="1150" spans="3:3">
      <c r="C1150" s="7"/>
    </row>
    <row r="1151" spans="3:3">
      <c r="C1151" s="7"/>
    </row>
    <row r="1152" spans="3:3">
      <c r="C1152" s="7"/>
    </row>
    <row r="1153" spans="3:3">
      <c r="C1153" s="7"/>
    </row>
    <row r="1154" spans="3:3">
      <c r="C1154" s="7"/>
    </row>
    <row r="1155" spans="3:3">
      <c r="C1155" s="7"/>
    </row>
    <row r="1156" spans="3:3">
      <c r="C1156" s="7"/>
    </row>
    <row r="1157" spans="3:3">
      <c r="C1157" s="7"/>
    </row>
    <row r="1158" spans="3:3">
      <c r="C1158" s="7"/>
    </row>
    <row r="1159" spans="3:3">
      <c r="C1159" s="7"/>
    </row>
    <row r="1160" spans="3:3">
      <c r="C1160" s="7"/>
    </row>
    <row r="1161" spans="3:3">
      <c r="C1161" s="7"/>
    </row>
    <row r="1162" spans="3:3">
      <c r="C1162" s="7"/>
    </row>
    <row r="1163" spans="3:3">
      <c r="C1163" s="7"/>
    </row>
    <row r="1164" spans="3:3">
      <c r="C1164" s="7"/>
    </row>
    <row r="1165" spans="3:3">
      <c r="C1165" s="7"/>
    </row>
    <row r="1166" spans="3:3">
      <c r="C1166" s="7"/>
    </row>
    <row r="1167" spans="3:3">
      <c r="C1167" s="7"/>
    </row>
    <row r="1168" spans="3:3">
      <c r="C1168" s="7"/>
    </row>
    <row r="1169" spans="3:3">
      <c r="C1169" s="7"/>
    </row>
    <row r="1170" spans="3:3">
      <c r="C1170" s="7"/>
    </row>
    <row r="1171" spans="3:3">
      <c r="C1171" s="7"/>
    </row>
    <row r="1172" spans="3:3">
      <c r="C1172" s="7"/>
    </row>
    <row r="1173" spans="3:3">
      <c r="C1173" s="7"/>
    </row>
    <row r="1174" spans="3:3">
      <c r="C1174" s="7"/>
    </row>
    <row r="1175" spans="3:3">
      <c r="C1175" s="7"/>
    </row>
    <row r="1176" spans="3:3">
      <c r="C1176" s="7"/>
    </row>
    <row r="1177" spans="3:3">
      <c r="C1177" s="7"/>
    </row>
    <row r="1178" spans="3:3">
      <c r="C1178" s="7"/>
    </row>
    <row r="1179" spans="3:3">
      <c r="C1179" s="7"/>
    </row>
    <row r="1180" spans="3:3">
      <c r="C1180" s="7"/>
    </row>
    <row r="1181" spans="3:3">
      <c r="C1181" s="7"/>
    </row>
    <row r="1182" spans="3:3">
      <c r="C1182" s="7"/>
    </row>
    <row r="1183" spans="3:3">
      <c r="C1183" s="7"/>
    </row>
    <row r="1184" spans="3:3">
      <c r="C1184" s="7"/>
    </row>
    <row r="1185" spans="3:3">
      <c r="C1185" s="7"/>
    </row>
    <row r="1186" spans="3:3">
      <c r="C1186" s="7"/>
    </row>
    <row r="1187" spans="3:3">
      <c r="C1187" s="7"/>
    </row>
    <row r="1188" spans="3:3">
      <c r="C1188" s="7"/>
    </row>
    <row r="1189" spans="3:3">
      <c r="C1189" s="7"/>
    </row>
    <row r="1190" spans="3:3">
      <c r="C1190" s="7"/>
    </row>
    <row r="1191" spans="3:3">
      <c r="C1191" s="7"/>
    </row>
    <row r="1192" spans="3:3">
      <c r="C1192" s="7"/>
    </row>
    <row r="1193" spans="3:3">
      <c r="C1193" s="7"/>
    </row>
    <row r="1194" spans="3:3">
      <c r="C1194" s="7"/>
    </row>
    <row r="1195" spans="3:3">
      <c r="C1195" s="7"/>
    </row>
    <row r="1196" spans="3:3">
      <c r="C1196" s="7"/>
    </row>
    <row r="1197" spans="3:3">
      <c r="C1197" s="7"/>
    </row>
    <row r="1198" spans="3:3">
      <c r="C1198" s="7"/>
    </row>
    <row r="1199" spans="3:3">
      <c r="C1199" s="7"/>
    </row>
    <row r="1200" spans="3:3">
      <c r="C1200" s="7"/>
    </row>
    <row r="1201" spans="3:3">
      <c r="C1201" s="7"/>
    </row>
    <row r="1202" spans="3:3">
      <c r="C1202" s="7"/>
    </row>
    <row r="1203" spans="3:3">
      <c r="C1203" s="7"/>
    </row>
    <row r="1204" spans="3:3">
      <c r="C1204" s="7"/>
    </row>
    <row r="1205" spans="3:3">
      <c r="C1205" s="7"/>
    </row>
    <row r="1206" spans="3:3">
      <c r="C1206" s="7"/>
    </row>
    <row r="1207" spans="3:3">
      <c r="C1207" s="7"/>
    </row>
    <row r="1208" spans="3:3">
      <c r="C1208" s="7"/>
    </row>
    <row r="1209" spans="3:3">
      <c r="C1209" s="7"/>
    </row>
    <row r="1210" spans="3:3">
      <c r="C1210" s="7"/>
    </row>
    <row r="1211" spans="3:3">
      <c r="C1211" s="7"/>
    </row>
    <row r="1212" spans="3:3">
      <c r="C1212" s="7"/>
    </row>
    <row r="1213" spans="3:3">
      <c r="C1213" s="7"/>
    </row>
    <row r="1214" spans="3:3">
      <c r="C1214" s="7"/>
    </row>
    <row r="1215" spans="3:3">
      <c r="C1215" s="7"/>
    </row>
    <row r="1216" spans="3:3">
      <c r="C1216" s="7"/>
    </row>
    <row r="1217" spans="3:3">
      <c r="C1217" s="7"/>
    </row>
    <row r="1218" spans="3:3">
      <c r="C1218" s="7"/>
    </row>
    <row r="1219" spans="3:3">
      <c r="C1219" s="7"/>
    </row>
    <row r="1220" spans="3:3">
      <c r="C1220" s="7"/>
    </row>
    <row r="1221" spans="3:3">
      <c r="C1221" s="7"/>
    </row>
    <row r="1222" spans="3:3">
      <c r="C1222" s="7"/>
    </row>
    <row r="1223" spans="3:3">
      <c r="C1223" s="7"/>
    </row>
    <row r="1224" spans="3:3">
      <c r="C1224" s="7"/>
    </row>
    <row r="1225" spans="3:3">
      <c r="C1225" s="7"/>
    </row>
    <row r="1226" spans="3:3">
      <c r="C1226" s="7"/>
    </row>
    <row r="1227" spans="3:3">
      <c r="C1227" s="7"/>
    </row>
    <row r="1228" spans="3:3">
      <c r="C1228" s="7"/>
    </row>
    <row r="1229" spans="3:3">
      <c r="C1229" s="7"/>
    </row>
    <row r="1230" spans="3:3">
      <c r="C1230" s="7"/>
    </row>
    <row r="1231" spans="3:3">
      <c r="C1231" s="7"/>
    </row>
    <row r="1232" spans="3:3">
      <c r="C1232" s="7"/>
    </row>
    <row r="1233" spans="3:3">
      <c r="C1233" s="7"/>
    </row>
    <row r="1234" spans="3:3">
      <c r="C1234" s="7"/>
    </row>
    <row r="1235" spans="3:3">
      <c r="C1235" s="7"/>
    </row>
    <row r="1236" spans="3:3">
      <c r="C1236" s="7"/>
    </row>
    <row r="1237" spans="3:3">
      <c r="C1237" s="7"/>
    </row>
    <row r="1238" spans="3:3">
      <c r="C1238" s="7"/>
    </row>
    <row r="1239" spans="3:3">
      <c r="C1239" s="7"/>
    </row>
    <row r="1240" spans="3:3">
      <c r="C1240" s="7"/>
    </row>
    <row r="1241" spans="3:3">
      <c r="C1241" s="7"/>
    </row>
    <row r="1242" spans="3:3">
      <c r="C1242" s="7"/>
    </row>
    <row r="1243" spans="3:3">
      <c r="C1243" s="7"/>
    </row>
    <row r="1244" spans="3:3">
      <c r="C1244" s="7"/>
    </row>
    <row r="1245" spans="3:3">
      <c r="C1245" s="7"/>
    </row>
    <row r="1246" spans="3:3">
      <c r="C1246" s="7"/>
    </row>
    <row r="1247" spans="3:3">
      <c r="C1247" s="7"/>
    </row>
    <row r="1248" spans="3:3">
      <c r="C1248" s="7"/>
    </row>
    <row r="1249" spans="3:3">
      <c r="C1249" s="7"/>
    </row>
    <row r="1250" spans="3:3">
      <c r="C1250" s="7"/>
    </row>
    <row r="1251" spans="3:3">
      <c r="C1251" s="7"/>
    </row>
    <row r="1252" spans="3:3">
      <c r="C1252" s="7"/>
    </row>
    <row r="1253" spans="3:3">
      <c r="C1253" s="7"/>
    </row>
    <row r="1254" spans="3:3">
      <c r="C1254" s="7"/>
    </row>
    <row r="1255" spans="3:3">
      <c r="C1255" s="7"/>
    </row>
    <row r="1256" spans="3:3">
      <c r="C1256" s="7"/>
    </row>
    <row r="1257" spans="3:3">
      <c r="C1257" s="7"/>
    </row>
    <row r="1258" spans="3:3">
      <c r="C1258" s="7"/>
    </row>
    <row r="1259" spans="3:3">
      <c r="C1259" s="7"/>
    </row>
    <row r="1260" spans="3:3">
      <c r="C1260" s="7"/>
    </row>
    <row r="1261" spans="3:3">
      <c r="C1261" s="7"/>
    </row>
    <row r="1262" spans="3:3">
      <c r="C1262" s="7"/>
    </row>
    <row r="1263" spans="3:3">
      <c r="C1263" s="7"/>
    </row>
    <row r="1264" spans="3:3">
      <c r="C1264" s="7"/>
    </row>
    <row r="1265" spans="3:3">
      <c r="C1265" s="7"/>
    </row>
    <row r="1266" spans="3:3">
      <c r="C1266" s="7"/>
    </row>
    <row r="1267" spans="3:3">
      <c r="C1267" s="7"/>
    </row>
    <row r="1268" spans="3:3">
      <c r="C1268" s="7"/>
    </row>
    <row r="1269" spans="3:3">
      <c r="C1269" s="7"/>
    </row>
    <row r="1270" spans="3:3">
      <c r="C1270" s="7"/>
    </row>
    <row r="1271" spans="3:3">
      <c r="C1271" s="7"/>
    </row>
    <row r="1272" spans="3:3">
      <c r="C1272" s="7"/>
    </row>
    <row r="1273" spans="3:3">
      <c r="C1273" s="7"/>
    </row>
    <row r="1274" spans="3:3">
      <c r="C1274" s="7"/>
    </row>
    <row r="1275" spans="3:3">
      <c r="C1275" s="7"/>
    </row>
    <row r="1276" spans="3:3">
      <c r="C1276" s="7"/>
    </row>
    <row r="1277" spans="3:3">
      <c r="C1277" s="7"/>
    </row>
    <row r="1278" spans="3:3">
      <c r="C1278" s="7"/>
    </row>
    <row r="1279" spans="3:3">
      <c r="C1279" s="7"/>
    </row>
    <row r="1280" spans="3:3">
      <c r="C1280" s="7"/>
    </row>
    <row r="1281" spans="3:3">
      <c r="C1281" s="7"/>
    </row>
    <row r="1282" spans="3:3">
      <c r="C1282" s="7"/>
    </row>
    <row r="1283" spans="3:3">
      <c r="C1283" s="7"/>
    </row>
    <row r="1284" spans="3:3">
      <c r="C1284" s="7"/>
    </row>
    <row r="1285" spans="3:3">
      <c r="C1285" s="7"/>
    </row>
    <row r="1286" spans="3:3">
      <c r="C1286" s="7"/>
    </row>
    <row r="1287" spans="3:3">
      <c r="C1287" s="7"/>
    </row>
    <row r="1288" spans="3:3">
      <c r="C1288" s="7"/>
    </row>
    <row r="1289" spans="3:3">
      <c r="C1289" s="7"/>
    </row>
    <row r="1290" spans="3:3">
      <c r="C1290" s="7"/>
    </row>
    <row r="1291" spans="3:3">
      <c r="C1291" s="7"/>
    </row>
    <row r="1292" spans="3:3">
      <c r="C1292" s="7"/>
    </row>
    <row r="1293" spans="3:3">
      <c r="C1293" s="7"/>
    </row>
    <row r="1294" spans="3:3">
      <c r="C1294" s="7"/>
    </row>
    <row r="1295" spans="3:3">
      <c r="C1295" s="7"/>
    </row>
    <row r="1296" spans="3:3">
      <c r="C1296" s="7"/>
    </row>
    <row r="1297" spans="3:3">
      <c r="C1297" s="7"/>
    </row>
    <row r="1298" spans="3:3">
      <c r="C1298" s="7"/>
    </row>
    <row r="1299" spans="3:3">
      <c r="C1299" s="7"/>
    </row>
    <row r="1300" spans="3:3">
      <c r="C1300" s="7"/>
    </row>
    <row r="1301" spans="3:3">
      <c r="C1301" s="7"/>
    </row>
    <row r="1302" spans="3:3">
      <c r="C1302" s="7"/>
    </row>
    <row r="1303" spans="3:3">
      <c r="C1303" s="7"/>
    </row>
    <row r="1304" spans="3:3">
      <c r="C1304" s="7"/>
    </row>
    <row r="1305" spans="3:3">
      <c r="C1305" s="7"/>
    </row>
    <row r="1306" spans="3:3">
      <c r="C1306" s="7"/>
    </row>
    <row r="1307" spans="3:3">
      <c r="C1307" s="7"/>
    </row>
    <row r="1308" spans="3:3">
      <c r="C1308" s="7"/>
    </row>
    <row r="1309" spans="3:3">
      <c r="C1309" s="7"/>
    </row>
    <row r="1310" spans="3:3">
      <c r="C1310" s="7"/>
    </row>
    <row r="1311" spans="3:3">
      <c r="C1311" s="7"/>
    </row>
    <row r="1312" spans="3:3">
      <c r="C1312" s="7"/>
    </row>
    <row r="1313" spans="3:3">
      <c r="C1313" s="7"/>
    </row>
    <row r="1314" spans="3:3">
      <c r="C1314" s="7"/>
    </row>
    <row r="1315" spans="3:3">
      <c r="C1315" s="7"/>
    </row>
    <row r="1316" spans="3:3">
      <c r="C1316" s="7"/>
    </row>
    <row r="1317" spans="3:3">
      <c r="C1317" s="7"/>
    </row>
    <row r="1318" spans="3:3">
      <c r="C1318" s="7"/>
    </row>
    <row r="1319" spans="3:3">
      <c r="C1319" s="7"/>
    </row>
    <row r="1320" spans="3:3">
      <c r="C1320" s="7"/>
    </row>
    <row r="1321" spans="3:3">
      <c r="C1321" s="7"/>
    </row>
    <row r="1322" spans="3:3">
      <c r="C1322" s="7"/>
    </row>
    <row r="1323" spans="3:3">
      <c r="C1323" s="7"/>
    </row>
    <row r="1324" spans="3:3">
      <c r="C1324" s="7"/>
    </row>
    <row r="1325" spans="3:3">
      <c r="C1325" s="7"/>
    </row>
    <row r="1326" spans="3:3">
      <c r="C1326" s="7"/>
    </row>
    <row r="1327" spans="3:3">
      <c r="C1327" s="7"/>
    </row>
    <row r="1328" spans="3:3">
      <c r="C1328" s="7"/>
    </row>
    <row r="1329" spans="3:3">
      <c r="C1329" s="7"/>
    </row>
    <row r="1330" spans="3:3">
      <c r="C1330" s="7"/>
    </row>
    <row r="1331" spans="3:3">
      <c r="C1331" s="7"/>
    </row>
    <row r="1332" spans="3:3">
      <c r="C1332" s="7"/>
    </row>
    <row r="1333" spans="3:3">
      <c r="C1333" s="7"/>
    </row>
    <row r="1334" spans="3:3">
      <c r="C1334" s="7"/>
    </row>
    <row r="1335" spans="3:3">
      <c r="C1335" s="7"/>
    </row>
    <row r="1336" spans="3:3">
      <c r="C1336" s="7"/>
    </row>
    <row r="1337" spans="3:3">
      <c r="C1337" s="7"/>
    </row>
    <row r="1338" spans="3:3">
      <c r="C1338" s="7"/>
    </row>
    <row r="1339" spans="3:3">
      <c r="C1339" s="7"/>
    </row>
    <row r="1340" spans="3:3">
      <c r="C1340" s="7"/>
    </row>
    <row r="1341" spans="3:3">
      <c r="C1341" s="7"/>
    </row>
    <row r="1342" spans="3:3">
      <c r="C1342" s="7"/>
    </row>
    <row r="1343" spans="3:3">
      <c r="C1343" s="7"/>
    </row>
    <row r="1344" spans="3:3">
      <c r="C1344" s="7"/>
    </row>
    <row r="1345" spans="3:3">
      <c r="C1345" s="7"/>
    </row>
    <row r="1346" spans="3:3">
      <c r="C1346" s="7"/>
    </row>
    <row r="1347" spans="3:3">
      <c r="C1347" s="7"/>
    </row>
    <row r="1348" spans="3:3">
      <c r="C1348" s="7"/>
    </row>
    <row r="1349" spans="3:3">
      <c r="C1349" s="7"/>
    </row>
    <row r="1350" spans="3:3">
      <c r="C1350" s="7"/>
    </row>
    <row r="1351" spans="3:3">
      <c r="C1351" s="7"/>
    </row>
    <row r="1352" spans="3:3">
      <c r="C1352" s="7"/>
    </row>
    <row r="1353" spans="3:3">
      <c r="C1353" s="7"/>
    </row>
    <row r="1354" spans="3:3">
      <c r="C1354" s="7"/>
    </row>
    <row r="1355" spans="3:3">
      <c r="C1355" s="7"/>
    </row>
    <row r="1356" spans="3:3">
      <c r="C1356" s="7"/>
    </row>
    <row r="1357" spans="3:3">
      <c r="C1357" s="7"/>
    </row>
    <row r="1358" spans="3:3">
      <c r="C1358" s="7"/>
    </row>
    <row r="1359" spans="3:3">
      <c r="C1359" s="7"/>
    </row>
    <row r="1360" spans="3:3">
      <c r="C1360" s="7"/>
    </row>
    <row r="1361" spans="3:3">
      <c r="C1361" s="7"/>
    </row>
    <row r="1362" spans="3:3">
      <c r="C1362" s="7"/>
    </row>
    <row r="1363" spans="3:3">
      <c r="C1363" s="7"/>
    </row>
    <row r="1364" spans="3:3">
      <c r="C1364" s="7"/>
    </row>
    <row r="1365" spans="3:3">
      <c r="C1365" s="7"/>
    </row>
    <row r="1366" spans="3:3">
      <c r="C1366" s="7"/>
    </row>
    <row r="1367" spans="3:3">
      <c r="C1367" s="7"/>
    </row>
    <row r="1368" spans="3:3">
      <c r="C1368" s="7"/>
    </row>
    <row r="1369" spans="3:3">
      <c r="C1369" s="7"/>
    </row>
    <row r="1370" spans="3:3">
      <c r="C1370" s="7"/>
    </row>
    <row r="1371" spans="3:3">
      <c r="C1371" s="7"/>
    </row>
    <row r="1372" spans="3:3">
      <c r="C1372" s="7"/>
    </row>
    <row r="1373" spans="3:3">
      <c r="C1373" s="7"/>
    </row>
    <row r="1374" spans="3:3">
      <c r="C1374" s="7"/>
    </row>
    <row r="1375" spans="3:3">
      <c r="C1375" s="7"/>
    </row>
    <row r="1376" spans="3:3">
      <c r="C1376" s="7"/>
    </row>
    <row r="1377" spans="3:3">
      <c r="C1377" s="7"/>
    </row>
    <row r="1378" spans="3:3">
      <c r="C1378" s="7"/>
    </row>
    <row r="1379" spans="3:3">
      <c r="C1379" s="7"/>
    </row>
    <row r="1380" spans="3:3">
      <c r="C1380" s="7"/>
    </row>
    <row r="1381" spans="3:3">
      <c r="C1381" s="7"/>
    </row>
    <row r="1382" spans="3:3">
      <c r="C1382" s="7"/>
    </row>
    <row r="1383" spans="3:3">
      <c r="C1383" s="7"/>
    </row>
    <row r="1384" spans="3:3">
      <c r="C1384" s="7"/>
    </row>
    <row r="1385" spans="3:3">
      <c r="C1385" s="7"/>
    </row>
    <row r="1386" spans="3:3">
      <c r="C1386" s="7"/>
    </row>
    <row r="1387" spans="3:3">
      <c r="C1387" s="7"/>
    </row>
    <row r="1388" spans="3:3">
      <c r="C1388" s="7"/>
    </row>
    <row r="1389" spans="3:3">
      <c r="C1389" s="7"/>
    </row>
    <row r="1390" spans="3:3">
      <c r="C1390" s="7"/>
    </row>
    <row r="1391" spans="3:3">
      <c r="C1391" s="7"/>
    </row>
    <row r="1392" spans="3:3">
      <c r="C1392" s="7"/>
    </row>
    <row r="1393" spans="3:3">
      <c r="C1393" s="7"/>
    </row>
    <row r="1394" spans="3:3">
      <c r="C1394" s="7"/>
    </row>
    <row r="1395" spans="3:3">
      <c r="C1395" s="7"/>
    </row>
    <row r="1396" spans="3:3">
      <c r="C1396" s="7"/>
    </row>
    <row r="1397" spans="3:3">
      <c r="C1397" s="7"/>
    </row>
    <row r="1398" spans="3:3">
      <c r="C1398" s="7"/>
    </row>
    <row r="1399" spans="3:3">
      <c r="C1399" s="7"/>
    </row>
    <row r="1400" spans="3:3">
      <c r="C1400" s="7"/>
    </row>
    <row r="1401" spans="3:3">
      <c r="C1401" s="7"/>
    </row>
    <row r="1402" spans="3:3">
      <c r="C1402" s="7"/>
    </row>
    <row r="1403" spans="3:3">
      <c r="C1403" s="7"/>
    </row>
    <row r="1404" spans="3:3">
      <c r="C1404" s="7"/>
    </row>
    <row r="1405" spans="3:3">
      <c r="C1405" s="7"/>
    </row>
    <row r="1406" spans="3:3">
      <c r="C1406" s="7"/>
    </row>
    <row r="1407" spans="3:3">
      <c r="C1407" s="7"/>
    </row>
    <row r="1408" spans="3:3">
      <c r="C1408" s="7"/>
    </row>
    <row r="1409" spans="3:3">
      <c r="C1409" s="7"/>
    </row>
    <row r="1410" spans="3:3">
      <c r="C1410" s="7"/>
    </row>
    <row r="1411" spans="3:3">
      <c r="C1411" s="7"/>
    </row>
    <row r="1412" spans="3:3">
      <c r="C1412" s="7"/>
    </row>
    <row r="1413" spans="3:3">
      <c r="C1413" s="7"/>
    </row>
    <row r="1414" spans="3:3">
      <c r="C1414" s="7"/>
    </row>
    <row r="1415" spans="3:3">
      <c r="C1415" s="7"/>
    </row>
    <row r="1416" spans="3:3">
      <c r="C1416" s="7"/>
    </row>
    <row r="1417" spans="3:3">
      <c r="C1417" s="7"/>
    </row>
    <row r="1418" spans="3:3">
      <c r="C1418" s="7"/>
    </row>
    <row r="1419" spans="3:3">
      <c r="C1419" s="7"/>
    </row>
    <row r="1420" spans="3:3">
      <c r="C1420" s="7"/>
    </row>
    <row r="1421" spans="3:3">
      <c r="C1421" s="7"/>
    </row>
    <row r="1422" spans="3:3">
      <c r="C1422" s="7"/>
    </row>
    <row r="1423" spans="3:3">
      <c r="C1423" s="7"/>
    </row>
    <row r="1424" spans="3:3">
      <c r="C1424" s="7"/>
    </row>
    <row r="1425" spans="3:3">
      <c r="C1425" s="7"/>
    </row>
    <row r="1426" spans="3:3">
      <c r="C1426" s="7"/>
    </row>
    <row r="1427" spans="3:3">
      <c r="C1427" s="7"/>
    </row>
    <row r="1428" spans="3:3">
      <c r="C1428" s="7"/>
    </row>
    <row r="1429" spans="3:3">
      <c r="C1429" s="7"/>
    </row>
    <row r="1430" spans="3:3">
      <c r="C1430" s="7"/>
    </row>
    <row r="1431" spans="3:3">
      <c r="C1431" s="7"/>
    </row>
    <row r="1432" spans="3:3">
      <c r="C1432" s="7"/>
    </row>
    <row r="1433" spans="3:3">
      <c r="C1433" s="7"/>
    </row>
    <row r="1434" spans="3:3">
      <c r="C1434" s="7"/>
    </row>
    <row r="1435" spans="3:3">
      <c r="C1435" s="7"/>
    </row>
    <row r="1436" spans="3:3">
      <c r="C1436" s="7"/>
    </row>
    <row r="1437" spans="3:3">
      <c r="C1437" s="7"/>
    </row>
    <row r="1438" spans="3:3">
      <c r="C1438" s="7"/>
    </row>
    <row r="1439" spans="3:3">
      <c r="C1439" s="7"/>
    </row>
    <row r="1440" spans="3:3">
      <c r="C1440" s="7"/>
    </row>
    <row r="1441" spans="3:3">
      <c r="C1441" s="7"/>
    </row>
    <row r="1442" spans="3:3">
      <c r="C1442" s="7"/>
    </row>
    <row r="1443" spans="3:3">
      <c r="C1443" s="7"/>
    </row>
    <row r="1444" spans="3:3">
      <c r="C1444" s="7"/>
    </row>
    <row r="1445" spans="3:3">
      <c r="C1445" s="7"/>
    </row>
    <row r="1446" spans="3:3">
      <c r="C1446" s="7"/>
    </row>
    <row r="1447" spans="3:3">
      <c r="C1447" s="7"/>
    </row>
    <row r="1448" spans="3:3">
      <c r="C1448" s="7"/>
    </row>
    <row r="1449" spans="3:3">
      <c r="C1449" s="7"/>
    </row>
    <row r="1450" spans="3:3">
      <c r="C1450" s="7"/>
    </row>
    <row r="1451" spans="3:3">
      <c r="C1451" s="7"/>
    </row>
    <row r="1452" spans="3:3">
      <c r="C1452" s="7"/>
    </row>
    <row r="1453" spans="3:3">
      <c r="C1453" s="7"/>
    </row>
    <row r="1454" spans="3:3">
      <c r="C1454" s="7"/>
    </row>
    <row r="1455" spans="3:3">
      <c r="C1455" s="7"/>
    </row>
    <row r="1456" spans="3:3">
      <c r="C1456" s="7"/>
    </row>
    <row r="1457" spans="3:3">
      <c r="C1457" s="7"/>
    </row>
    <row r="1458" spans="3:3">
      <c r="C1458" s="7"/>
    </row>
    <row r="1459" spans="3:3">
      <c r="C1459" s="7"/>
    </row>
    <row r="1460" spans="3:3">
      <c r="C1460" s="7"/>
    </row>
    <row r="1461" spans="3:3">
      <c r="C1461" s="7"/>
    </row>
    <row r="1462" spans="3:3">
      <c r="C1462" s="7"/>
    </row>
    <row r="1463" spans="3:3">
      <c r="C1463" s="7"/>
    </row>
    <row r="1464" spans="3:3">
      <c r="C1464" s="7"/>
    </row>
    <row r="1465" spans="3:3">
      <c r="C1465" s="7"/>
    </row>
    <row r="1466" spans="3:3">
      <c r="C1466" s="7"/>
    </row>
    <row r="1467" spans="3:3">
      <c r="C1467" s="7"/>
    </row>
    <row r="1468" spans="3:3">
      <c r="C1468" s="7"/>
    </row>
    <row r="1469" spans="3:3">
      <c r="C1469" s="7"/>
    </row>
    <row r="1470" spans="3:3">
      <c r="C1470" s="7"/>
    </row>
    <row r="1471" spans="3:3">
      <c r="C1471" s="7"/>
    </row>
    <row r="1472" spans="3:3">
      <c r="C1472" s="7"/>
    </row>
    <row r="1473" spans="3:3">
      <c r="C1473" s="7"/>
    </row>
    <row r="1474" spans="3:3">
      <c r="C1474" s="7"/>
    </row>
    <row r="1475" spans="3:3">
      <c r="C1475" s="7"/>
    </row>
    <row r="1476" spans="3:3">
      <c r="C1476" s="7"/>
    </row>
    <row r="1477" spans="3:3">
      <c r="C1477" s="7"/>
    </row>
    <row r="1478" spans="3:3">
      <c r="C1478" s="7"/>
    </row>
    <row r="1479" spans="3:3">
      <c r="C1479" s="7"/>
    </row>
    <row r="1480" spans="3:3">
      <c r="C1480" s="7"/>
    </row>
    <row r="1481" spans="3:3">
      <c r="C1481" s="7"/>
    </row>
    <row r="1482" spans="3:3">
      <c r="C1482" s="7"/>
    </row>
    <row r="1483" spans="3:3">
      <c r="C1483" s="7"/>
    </row>
    <row r="1484" spans="3:3">
      <c r="C1484" s="7"/>
    </row>
    <row r="1485" spans="3:3">
      <c r="C1485" s="7"/>
    </row>
    <row r="1486" spans="3:3">
      <c r="C1486" s="7"/>
    </row>
    <row r="1487" spans="3:3">
      <c r="C1487" s="7"/>
    </row>
    <row r="1488" spans="3:3">
      <c r="C1488" s="7"/>
    </row>
    <row r="1489" spans="3:3">
      <c r="C1489" s="7"/>
    </row>
    <row r="1490" spans="3:3">
      <c r="C1490" s="7"/>
    </row>
    <row r="1491" spans="3:3">
      <c r="C1491" s="7"/>
    </row>
    <row r="1492" spans="3:3">
      <c r="C1492" s="7"/>
    </row>
    <row r="1493" spans="3:3">
      <c r="C1493" s="7"/>
    </row>
    <row r="1494" spans="3:3">
      <c r="C1494" s="7"/>
    </row>
    <row r="1495" spans="3:3">
      <c r="C1495" s="7"/>
    </row>
    <row r="1496" spans="3:3">
      <c r="C1496" s="7"/>
    </row>
    <row r="1497" spans="3:3">
      <c r="C1497" s="7"/>
    </row>
    <row r="1498" spans="3:3">
      <c r="C1498" s="7"/>
    </row>
    <row r="1499" spans="3:3">
      <c r="C1499" s="7"/>
    </row>
    <row r="1500" spans="3:3">
      <c r="C1500" s="7"/>
    </row>
    <row r="1501" spans="3:3">
      <c r="C1501" s="7"/>
    </row>
    <row r="1502" spans="3:3">
      <c r="C1502" s="7"/>
    </row>
    <row r="1503" spans="3:3">
      <c r="C1503" s="7"/>
    </row>
    <row r="1504" spans="3:3">
      <c r="C1504" s="7"/>
    </row>
    <row r="1505" spans="3:3">
      <c r="C1505" s="7"/>
    </row>
    <row r="1506" spans="3:3">
      <c r="C1506" s="7"/>
    </row>
    <row r="1507" spans="3:3">
      <c r="C1507" s="7"/>
    </row>
    <row r="1508" spans="3:3">
      <c r="C1508" s="7"/>
    </row>
    <row r="1509" spans="3:3">
      <c r="C1509" s="7"/>
    </row>
    <row r="1510" spans="3:3">
      <c r="C1510" s="7"/>
    </row>
    <row r="1511" spans="3:3">
      <c r="C1511" s="7"/>
    </row>
    <row r="1512" spans="3:3">
      <c r="C1512" s="7"/>
    </row>
    <row r="1513" spans="3:3">
      <c r="C1513" s="7"/>
    </row>
    <row r="1514" spans="3:3">
      <c r="C1514" s="7"/>
    </row>
    <row r="1515" spans="3:3">
      <c r="C1515" s="7"/>
    </row>
    <row r="1516" spans="3:3">
      <c r="C1516" s="7"/>
    </row>
    <row r="1517" spans="3:3">
      <c r="C1517" s="7"/>
    </row>
    <row r="1518" spans="3:3">
      <c r="C1518" s="7"/>
    </row>
    <row r="1519" spans="3:3">
      <c r="C1519" s="7"/>
    </row>
    <row r="1520" spans="3:3">
      <c r="C1520" s="7"/>
    </row>
    <row r="1521" spans="3:3">
      <c r="C1521" s="7"/>
    </row>
    <row r="1522" spans="3:3">
      <c r="C1522" s="7"/>
    </row>
    <row r="1523" spans="3:3">
      <c r="C1523" s="7"/>
    </row>
    <row r="1524" spans="3:3">
      <c r="C1524" s="7"/>
    </row>
    <row r="1525" spans="3:3">
      <c r="C1525" s="7"/>
    </row>
    <row r="1526" spans="3:3">
      <c r="C1526" s="7"/>
    </row>
    <row r="1527" spans="3:3">
      <c r="C1527" s="7"/>
    </row>
    <row r="1528" spans="3:3">
      <c r="C1528" s="7"/>
    </row>
    <row r="1529" spans="3:3">
      <c r="C1529" s="7"/>
    </row>
    <row r="1530" spans="3:3">
      <c r="C1530" s="7"/>
    </row>
    <row r="1531" spans="3:3">
      <c r="C1531" s="7"/>
    </row>
    <row r="1532" spans="3:3">
      <c r="C1532" s="7"/>
    </row>
    <row r="1533" spans="3:3">
      <c r="C1533" s="7"/>
    </row>
    <row r="1534" spans="3:3">
      <c r="C1534" s="7"/>
    </row>
    <row r="1535" spans="3:3">
      <c r="C1535" s="7"/>
    </row>
    <row r="1536" spans="3:3">
      <c r="C1536" s="7"/>
    </row>
    <row r="1537" spans="3:3">
      <c r="C1537" s="7"/>
    </row>
    <row r="1538" spans="3:3">
      <c r="C1538" s="7"/>
    </row>
    <row r="1539" spans="3:3">
      <c r="C1539" s="7"/>
    </row>
    <row r="1540" spans="3:3">
      <c r="C1540" s="7"/>
    </row>
    <row r="1541" spans="3:3">
      <c r="C1541" s="7"/>
    </row>
    <row r="1542" spans="3:3">
      <c r="C1542" s="7"/>
    </row>
    <row r="1543" spans="3:3">
      <c r="C1543" s="7"/>
    </row>
    <row r="1544" spans="3:3">
      <c r="C1544" s="7"/>
    </row>
    <row r="1545" spans="3:3">
      <c r="C1545" s="7"/>
    </row>
    <row r="1546" spans="3:3">
      <c r="C1546" s="7"/>
    </row>
    <row r="1547" spans="3:3">
      <c r="C1547" s="7"/>
    </row>
    <row r="1548" spans="3:3">
      <c r="C1548" s="7"/>
    </row>
    <row r="1549" spans="3:3">
      <c r="C1549" s="7"/>
    </row>
    <row r="1550" spans="3:3">
      <c r="C1550" s="7"/>
    </row>
    <row r="1551" spans="3:3">
      <c r="C1551" s="7"/>
    </row>
    <row r="1552" spans="3:3">
      <c r="C1552" s="7"/>
    </row>
    <row r="1553" spans="3:3">
      <c r="C1553" s="7"/>
    </row>
    <row r="1554" spans="3:3">
      <c r="C1554" s="7"/>
    </row>
    <row r="1555" spans="3:3">
      <c r="C1555" s="7"/>
    </row>
    <row r="1556" spans="3:3">
      <c r="C1556" s="7"/>
    </row>
    <row r="1557" spans="3:3">
      <c r="C1557" s="7"/>
    </row>
    <row r="1558" spans="3:3">
      <c r="C1558" s="7"/>
    </row>
    <row r="1559" spans="3:3">
      <c r="C1559" s="7"/>
    </row>
    <row r="1560" spans="3:3">
      <c r="C1560" s="7"/>
    </row>
    <row r="1561" spans="3:3">
      <c r="C1561" s="7"/>
    </row>
    <row r="1562" spans="3:3">
      <c r="C1562" s="7"/>
    </row>
    <row r="1563" spans="3:3">
      <c r="C1563" s="7"/>
    </row>
    <row r="1564" spans="3:3">
      <c r="C1564" s="7"/>
    </row>
    <row r="1565" spans="3:3">
      <c r="C1565" s="7"/>
    </row>
    <row r="1566" spans="3:3">
      <c r="C1566" s="7"/>
    </row>
    <row r="1567" spans="3:3">
      <c r="C1567" s="7"/>
    </row>
    <row r="1568" spans="3:3">
      <c r="C1568" s="7"/>
    </row>
    <row r="1569" spans="3:3">
      <c r="C1569" s="7"/>
    </row>
    <row r="1570" spans="3:3">
      <c r="C1570" s="7"/>
    </row>
    <row r="1571" spans="3:3">
      <c r="C1571" s="7"/>
    </row>
    <row r="1572" spans="3:3">
      <c r="C1572" s="7"/>
    </row>
    <row r="1573" spans="3:3">
      <c r="C1573" s="7"/>
    </row>
    <row r="1574" spans="3:3">
      <c r="C1574" s="7"/>
    </row>
    <row r="1575" spans="3:3">
      <c r="C1575" s="7"/>
    </row>
    <row r="1576" spans="3:3">
      <c r="C1576" s="7"/>
    </row>
    <row r="1577" spans="3:3">
      <c r="C1577" s="7"/>
    </row>
    <row r="1578" spans="3:3">
      <c r="C1578" s="7"/>
    </row>
    <row r="1579" spans="3:3">
      <c r="C1579" s="7"/>
    </row>
    <row r="1580" spans="3:3">
      <c r="C1580" s="7"/>
    </row>
    <row r="1581" spans="3:3">
      <c r="C1581" s="7"/>
    </row>
    <row r="1582" spans="3:3">
      <c r="C1582" s="7"/>
    </row>
    <row r="1583" spans="3:3">
      <c r="C1583" s="7"/>
    </row>
    <row r="1584" spans="3:3">
      <c r="C1584" s="7"/>
    </row>
    <row r="1585" spans="3:3">
      <c r="C1585" s="7"/>
    </row>
    <row r="1586" spans="3:3">
      <c r="C1586" s="7"/>
    </row>
    <row r="1587" spans="3:3">
      <c r="C1587" s="7"/>
    </row>
    <row r="1588" spans="3:3">
      <c r="C1588" s="7"/>
    </row>
    <row r="1589" spans="3:3">
      <c r="C1589" s="7"/>
    </row>
    <row r="1590" spans="3:3">
      <c r="C1590" s="7"/>
    </row>
    <row r="1591" spans="3:3">
      <c r="C1591" s="7"/>
    </row>
    <row r="1592" spans="3:3">
      <c r="C1592" s="7"/>
    </row>
    <row r="1593" spans="3:3">
      <c r="C1593" s="7"/>
    </row>
    <row r="1594" spans="3:3">
      <c r="C1594" s="7"/>
    </row>
    <row r="1595" spans="3:3">
      <c r="C1595" s="7"/>
    </row>
    <row r="1596" spans="3:3">
      <c r="C1596" s="7"/>
    </row>
    <row r="1597" spans="3:3">
      <c r="C1597" s="7"/>
    </row>
    <row r="1598" spans="3:3">
      <c r="C1598" s="7"/>
    </row>
    <row r="1599" spans="3:3">
      <c r="C1599" s="7"/>
    </row>
    <row r="1600" spans="3:3">
      <c r="C1600" s="7"/>
    </row>
    <row r="1601" spans="3:3">
      <c r="C1601" s="7"/>
    </row>
    <row r="1602" spans="3:3">
      <c r="C1602" s="7"/>
    </row>
    <row r="1603" spans="3:3">
      <c r="C1603" s="7"/>
    </row>
    <row r="1604" spans="3:3">
      <c r="C1604" s="7"/>
    </row>
    <row r="1605" spans="3:3">
      <c r="C1605" s="7"/>
    </row>
    <row r="1606" spans="3:3">
      <c r="C1606" s="7"/>
    </row>
    <row r="1607" spans="3:3">
      <c r="C1607" s="7"/>
    </row>
    <row r="1608" spans="3:3">
      <c r="C1608" s="7"/>
    </row>
    <row r="1609" spans="3:3">
      <c r="C1609" s="7"/>
    </row>
    <row r="1610" spans="3:3">
      <c r="C1610" s="7"/>
    </row>
    <row r="1611" spans="3:3">
      <c r="C1611" s="7"/>
    </row>
    <row r="1612" spans="3:3">
      <c r="C1612" s="7"/>
    </row>
    <row r="1613" spans="3:3">
      <c r="C1613" s="7"/>
    </row>
    <row r="1614" spans="3:3">
      <c r="C1614" s="7"/>
    </row>
    <row r="1615" spans="3:3">
      <c r="C1615" s="7"/>
    </row>
    <row r="1616" spans="3:3">
      <c r="C1616" s="7"/>
    </row>
    <row r="1617" spans="3:3">
      <c r="C1617" s="7"/>
    </row>
    <row r="1618" spans="3:3">
      <c r="C1618" s="7"/>
    </row>
    <row r="1619" spans="3:3">
      <c r="C1619" s="7"/>
    </row>
    <row r="1620" spans="3:3">
      <c r="C1620" s="7"/>
    </row>
    <row r="1621" spans="3:3">
      <c r="C1621" s="7"/>
    </row>
    <row r="1622" spans="3:3">
      <c r="C1622" s="7"/>
    </row>
    <row r="1623" spans="3:3">
      <c r="C1623" s="7"/>
    </row>
    <row r="1624" spans="3:3">
      <c r="C1624" s="7"/>
    </row>
    <row r="1625" spans="3:3">
      <c r="C1625" s="7"/>
    </row>
    <row r="1626" spans="3:3">
      <c r="C1626" s="7"/>
    </row>
    <row r="1627" spans="3:3">
      <c r="C1627" s="7"/>
    </row>
    <row r="1628" spans="3:3">
      <c r="C1628" s="7"/>
    </row>
    <row r="1629" spans="3:3">
      <c r="C1629" s="7"/>
    </row>
    <row r="1630" spans="3:3">
      <c r="C1630" s="7"/>
    </row>
    <row r="1631" spans="3:3">
      <c r="C1631" s="7"/>
    </row>
    <row r="1632" spans="3:3">
      <c r="C1632" s="7"/>
    </row>
    <row r="1633" spans="3:3">
      <c r="C1633" s="7"/>
    </row>
    <row r="1634" spans="3:3">
      <c r="C1634" s="7"/>
    </row>
    <row r="1635" spans="3:3">
      <c r="C1635" s="7"/>
    </row>
    <row r="1636" spans="3:3">
      <c r="C1636" s="7"/>
    </row>
    <row r="1637" spans="3:3">
      <c r="C1637" s="7"/>
    </row>
    <row r="1638" spans="3:3">
      <c r="C1638" s="7"/>
    </row>
    <row r="1639" spans="3:3">
      <c r="C1639" s="7"/>
    </row>
    <row r="1640" spans="3:3">
      <c r="C1640" s="7"/>
    </row>
    <row r="1641" spans="3:3">
      <c r="C1641" s="7"/>
    </row>
    <row r="1642" spans="3:3">
      <c r="C1642" s="7"/>
    </row>
    <row r="1643" spans="3:3">
      <c r="C1643" s="7"/>
    </row>
    <row r="1644" spans="3:3">
      <c r="C1644" s="7"/>
    </row>
    <row r="1645" spans="3:3">
      <c r="C1645" s="7"/>
    </row>
    <row r="1646" spans="3:3">
      <c r="C1646" s="7"/>
    </row>
    <row r="1647" spans="3:3">
      <c r="C1647" s="7"/>
    </row>
    <row r="1648" spans="3:3">
      <c r="C1648" s="7"/>
    </row>
    <row r="1649" spans="3:3">
      <c r="C1649" s="7"/>
    </row>
    <row r="1650" spans="3:3">
      <c r="C1650" s="7"/>
    </row>
    <row r="1651" spans="3:3">
      <c r="C1651" s="7"/>
    </row>
    <row r="1652" spans="3:3">
      <c r="C1652" s="7"/>
    </row>
    <row r="1653" spans="3:3">
      <c r="C1653" s="7"/>
    </row>
    <row r="1654" spans="3:3">
      <c r="C1654" s="7"/>
    </row>
    <row r="1655" spans="3:3">
      <c r="C1655" s="7"/>
    </row>
    <row r="1656" spans="3:3">
      <c r="C1656" s="7"/>
    </row>
    <row r="1657" spans="3:3">
      <c r="C1657" s="7"/>
    </row>
    <row r="1658" spans="3:3">
      <c r="C1658" s="7"/>
    </row>
    <row r="1659" spans="3:3">
      <c r="C1659" s="7"/>
    </row>
    <row r="1660" spans="3:3">
      <c r="C1660" s="7"/>
    </row>
    <row r="1661" spans="3:3">
      <c r="C1661" s="7"/>
    </row>
    <row r="1662" spans="3:3">
      <c r="C1662" s="7"/>
    </row>
    <row r="1663" spans="3:3">
      <c r="C1663" s="7"/>
    </row>
    <row r="1664" spans="3:3">
      <c r="C1664" s="7"/>
    </row>
    <row r="1665" spans="3:3">
      <c r="C1665" s="7"/>
    </row>
    <row r="1666" spans="3:3">
      <c r="C1666" s="7"/>
    </row>
    <row r="1667" spans="3:3">
      <c r="C1667" s="7"/>
    </row>
    <row r="1668" spans="3:3">
      <c r="C1668" s="7"/>
    </row>
    <row r="1669" spans="3:3">
      <c r="C1669" s="7"/>
    </row>
  </sheetData>
  <phoneticPr fontId="4" type="noConversion"/>
  <pageMargins left="0.75" right="0" top="1" bottom="0.5" header="0.5" footer="0.5"/>
  <pageSetup paperSize="5" scale="10" orientation="landscape" r:id="rId1"/>
  <headerFooter alignWithMargins="0"/>
  <rowBreaks count="1" manualBreakCount="1">
    <brk id="3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X482"/>
  <sheetViews>
    <sheetView tabSelected="1" zoomScaleNormal="100" workbookViewId="0">
      <selection sqref="A1:XFD1048576"/>
    </sheetView>
  </sheetViews>
  <sheetFormatPr defaultRowHeight="14.25"/>
  <cols>
    <col min="1" max="1" width="8.85546875" style="26" bestFit="1" customWidth="1"/>
    <col min="2" max="2" width="8.42578125" style="26" bestFit="1" customWidth="1"/>
    <col min="3" max="3" width="6.5703125" style="26" bestFit="1" customWidth="1"/>
    <col min="4" max="4" width="8.85546875" style="26" bestFit="1" customWidth="1"/>
    <col min="5" max="5" width="13.28515625" style="26" bestFit="1" customWidth="1"/>
    <col min="6" max="6" width="18.85546875" style="26" bestFit="1" customWidth="1"/>
    <col min="7" max="7" width="15.5703125" style="26" bestFit="1" customWidth="1"/>
    <col min="8" max="8" width="11.42578125" style="26" bestFit="1" customWidth="1"/>
    <col min="9" max="9" width="7.7109375" style="26" bestFit="1" customWidth="1"/>
    <col min="10" max="10" width="12" style="26" bestFit="1" customWidth="1"/>
    <col min="11" max="11" width="21.85546875" style="26" bestFit="1" customWidth="1"/>
    <col min="12" max="12" width="10.140625" style="26" bestFit="1" customWidth="1"/>
    <col min="13" max="13" width="18.140625" style="26" bestFit="1" customWidth="1"/>
    <col min="14" max="14" width="9.7109375" style="26" bestFit="1" customWidth="1"/>
    <col min="15" max="15" width="10.140625" style="26" bestFit="1" customWidth="1"/>
    <col min="16" max="16" width="13.5703125" style="26" bestFit="1" customWidth="1"/>
    <col min="17" max="17" width="9.28515625" style="27" bestFit="1" customWidth="1"/>
    <col min="18" max="18" width="16.85546875" style="26" bestFit="1" customWidth="1"/>
    <col min="19" max="19" width="42.5703125" style="26" customWidth="1"/>
    <col min="20" max="20" width="20.42578125" style="26" bestFit="1" customWidth="1"/>
    <col min="21" max="21" width="15.7109375" style="26" bestFit="1" customWidth="1"/>
    <col min="22" max="22" width="13.5703125" style="26" bestFit="1" customWidth="1"/>
    <col min="23" max="23" width="8.140625" style="26" bestFit="1" customWidth="1"/>
    <col min="24" max="24" width="5.42578125" style="26" bestFit="1" customWidth="1"/>
    <col min="25" max="25" width="5.85546875" style="26" bestFit="1" customWidth="1"/>
    <col min="26" max="26" width="5.5703125" style="26" bestFit="1" customWidth="1"/>
    <col min="27" max="27" width="5.7109375" style="28" bestFit="1" customWidth="1"/>
    <col min="28" max="28" width="11.140625" style="28" bestFit="1" customWidth="1"/>
    <col min="29" max="29" width="10.7109375" style="28" bestFit="1" customWidth="1"/>
    <col min="30" max="30" width="13.28515625" style="28" bestFit="1" customWidth="1"/>
    <col min="31" max="31" width="6.140625" style="28" bestFit="1" customWidth="1"/>
    <col min="32" max="32" width="15.42578125" style="28" bestFit="1" customWidth="1"/>
    <col min="33" max="33" width="14.28515625" style="28" bestFit="1" customWidth="1"/>
    <col min="34" max="34" width="13.28515625" style="28" bestFit="1" customWidth="1"/>
    <col min="35" max="35" width="13.7109375" style="28" bestFit="1" customWidth="1"/>
    <col min="36" max="36" width="20.28515625" style="28" bestFit="1" customWidth="1"/>
    <col min="37" max="37" width="13.7109375" style="30" bestFit="1" customWidth="1"/>
    <col min="38" max="38" width="12.5703125" style="28" bestFit="1" customWidth="1"/>
    <col min="39" max="39" width="17.7109375" style="28" bestFit="1" customWidth="1"/>
    <col min="40" max="40" width="21.42578125" style="26" bestFit="1" customWidth="1"/>
    <col min="41" max="41" width="27.5703125" style="26" bestFit="1" customWidth="1"/>
    <col min="42" max="42" width="22.140625" style="26" bestFit="1" customWidth="1"/>
    <col min="43" max="43" width="26.85546875" style="26" bestFit="1" customWidth="1"/>
    <col min="44" max="44" width="27.140625" style="26" bestFit="1" customWidth="1"/>
    <col min="45" max="45" width="20.85546875" style="26" bestFit="1" customWidth="1"/>
    <col min="46" max="46" width="8.85546875" style="26" bestFit="1" customWidth="1"/>
    <col min="47" max="47" width="23.140625" style="26" bestFit="1" customWidth="1"/>
    <col min="48" max="48" width="11.28515625" style="26" bestFit="1" customWidth="1"/>
    <col min="49" max="16384" width="9.140625" style="26"/>
  </cols>
  <sheetData>
    <row r="1" spans="1:48">
      <c r="A1" s="26" t="s">
        <v>19</v>
      </c>
      <c r="B1" s="26" t="s">
        <v>20</v>
      </c>
      <c r="C1" s="26" t="s">
        <v>21</v>
      </c>
      <c r="D1" s="26" t="s">
        <v>22</v>
      </c>
      <c r="E1" s="26" t="s">
        <v>23</v>
      </c>
      <c r="F1" s="26" t="s">
        <v>24</v>
      </c>
      <c r="G1" s="26" t="s">
        <v>25</v>
      </c>
      <c r="H1" s="26" t="s">
        <v>26</v>
      </c>
      <c r="I1" s="26" t="s">
        <v>27</v>
      </c>
      <c r="J1" s="26" t="s">
        <v>28</v>
      </c>
      <c r="K1" s="26" t="s">
        <v>29</v>
      </c>
      <c r="L1" s="26" t="s">
        <v>30</v>
      </c>
      <c r="M1" s="26" t="s">
        <v>31</v>
      </c>
      <c r="N1" s="26" t="s">
        <v>32</v>
      </c>
      <c r="O1" s="26" t="s">
        <v>33</v>
      </c>
      <c r="P1" s="26" t="s">
        <v>34</v>
      </c>
      <c r="Q1" s="27" t="s">
        <v>35</v>
      </c>
      <c r="R1" s="26" t="s">
        <v>36</v>
      </c>
      <c r="S1" s="26" t="s">
        <v>37</v>
      </c>
      <c r="T1" s="26" t="s">
        <v>38</v>
      </c>
      <c r="U1" s="26" t="s">
        <v>39</v>
      </c>
      <c r="V1" s="26" t="s">
        <v>40</v>
      </c>
      <c r="W1" s="26" t="s">
        <v>41</v>
      </c>
      <c r="X1" s="26" t="s">
        <v>42</v>
      </c>
      <c r="Y1" s="26" t="s">
        <v>43</v>
      </c>
      <c r="Z1" s="26" t="s">
        <v>44</v>
      </c>
      <c r="AA1" s="28" t="s">
        <v>45</v>
      </c>
      <c r="AB1" s="28" t="s">
        <v>46</v>
      </c>
      <c r="AC1" s="28" t="s">
        <v>47</v>
      </c>
      <c r="AD1" s="28" t="s">
        <v>48</v>
      </c>
      <c r="AE1" s="28" t="s">
        <v>49</v>
      </c>
      <c r="AF1" s="28" t="s">
        <v>50</v>
      </c>
      <c r="AG1" s="28" t="s">
        <v>51</v>
      </c>
      <c r="AH1" s="29" t="s">
        <v>52</v>
      </c>
      <c r="AI1" s="28" t="s">
        <v>53</v>
      </c>
      <c r="AJ1" s="28" t="s">
        <v>54</v>
      </c>
      <c r="AK1" s="30" t="s">
        <v>1003</v>
      </c>
      <c r="AL1" s="28" t="s">
        <v>55</v>
      </c>
      <c r="AM1" s="28" t="s">
        <v>56</v>
      </c>
      <c r="AN1" s="26" t="s">
        <v>57</v>
      </c>
      <c r="AO1" s="26" t="s">
        <v>58</v>
      </c>
      <c r="AP1" s="26" t="s">
        <v>59</v>
      </c>
      <c r="AQ1" s="26" t="s">
        <v>60</v>
      </c>
      <c r="AR1" s="26" t="s">
        <v>61</v>
      </c>
      <c r="AS1" s="26" t="s">
        <v>62</v>
      </c>
      <c r="AT1" s="26" t="s">
        <v>63</v>
      </c>
      <c r="AU1" s="26" t="s">
        <v>64</v>
      </c>
      <c r="AV1" s="26" t="s">
        <v>3</v>
      </c>
    </row>
    <row r="2" spans="1:48">
      <c r="A2" s="26">
        <v>7</v>
      </c>
      <c r="B2" s="26">
        <f>MONTH('Report Inputs'!$B$2)</f>
        <v>11</v>
      </c>
      <c r="C2" s="26">
        <f>YEAR('Report Inputs'!$B$2)</f>
        <v>2015</v>
      </c>
      <c r="D2" s="26">
        <v>66571</v>
      </c>
      <c r="F2" s="26" t="s">
        <v>65</v>
      </c>
      <c r="G2" s="26" t="s">
        <v>66</v>
      </c>
      <c r="H2" s="26" t="s">
        <v>67</v>
      </c>
      <c r="I2" s="26" t="s">
        <v>68</v>
      </c>
      <c r="J2" s="26" t="s">
        <v>69</v>
      </c>
      <c r="K2" s="26">
        <v>713</v>
      </c>
      <c r="L2" s="26" t="s">
        <v>70</v>
      </c>
      <c r="M2" s="26">
        <v>713</v>
      </c>
      <c r="N2" s="26" t="s">
        <v>71</v>
      </c>
      <c r="O2" s="26" t="s">
        <v>72</v>
      </c>
      <c r="P2" s="26">
        <v>45</v>
      </c>
      <c r="Q2" s="27">
        <v>6861</v>
      </c>
      <c r="R2" s="26">
        <v>0</v>
      </c>
      <c r="S2" s="26" t="s">
        <v>106</v>
      </c>
      <c r="T2" s="26" t="s">
        <v>80</v>
      </c>
      <c r="U2" s="26" t="s">
        <v>1052</v>
      </c>
      <c r="V2" s="26">
        <f t="shared" ref="V2:V66" si="0">IF(ISNA(VLOOKUP($Q2,data,4,FALSE)),0,VLOOKUP($Q2,data,4,FALSE))</f>
        <v>0</v>
      </c>
      <c r="W2" s="26" t="s">
        <v>107</v>
      </c>
      <c r="X2" s="26">
        <v>20</v>
      </c>
      <c r="Y2" s="26" t="s">
        <v>74</v>
      </c>
      <c r="Z2" s="26" t="s">
        <v>75</v>
      </c>
      <c r="AA2" s="28">
        <f>IF(ISNA(VLOOKUP($Q2,data,5,FALSE)),0,VLOOKUP($Q2,data,5,FALSE))</f>
        <v>0</v>
      </c>
      <c r="AB2" s="28">
        <f>IF(ISNA(VLOOKUP($Q2,data,7,FALSE)),0,VLOOKUP($Q2,data,7,FALSE))</f>
        <v>0</v>
      </c>
      <c r="AC2" s="28">
        <f>IF(ISNA(VLOOKUP($Q2,data,6,FALSE)),0,VLOOKUP($Q2,data,6,FALSE))</f>
        <v>0</v>
      </c>
      <c r="AD2" s="28">
        <f t="shared" ref="AD2:AD30" si="1">ROUND(AC2,0)+ROUND(AE2,0)-ROUND(AA2,0)-ROUND(AB2,0)</f>
        <v>0</v>
      </c>
      <c r="AE2" s="28">
        <f>IF(ISNA(VLOOKUP($Q2,data,13,FALSE)),0,VLOOKUP($Q2,data,13,FALSE))</f>
        <v>0</v>
      </c>
      <c r="AF2" s="28">
        <f t="shared" ref="AF2:AF31" si="2">IF(ISNA(VLOOKUP($Q2,data,9,FALSE)),0,VLOOKUP($Q2,data,9,FALSE))</f>
        <v>0</v>
      </c>
      <c r="AG2" s="28">
        <f t="shared" ref="AG2:AG65" si="3">IF(ISNA(VLOOKUP($Q2,data,10,FALSE)),0,VLOOKUP($Q2,data,10,FALSE))</f>
        <v>0</v>
      </c>
      <c r="AH2" s="28">
        <f t="shared" ref="AH2:AH65" si="4">IF(ISNA(VLOOKUP($Q2,data,11,FALSE)),0,VLOOKUP($Q2,data,11,FALSE))</f>
        <v>0</v>
      </c>
      <c r="AI2" s="28">
        <f t="shared" ref="AI2:AI64" si="5">ROUND(AF2,0)-ROUND(AG2,0)-ROUND(AH2,0)-ROUND(AJ2,0)</f>
        <v>0</v>
      </c>
      <c r="AJ2" s="28">
        <f t="shared" ref="AJ2:AJ3" si="6">IF(ISNA(VLOOKUP($Q2,data,8,FALSE)),0,VLOOKUP($Q2,data,8,FALSE))</f>
        <v>0</v>
      </c>
      <c r="AM2" s="28">
        <f>IF(ISNA(VLOOKUP($Q2,data,14,FALSE)),0,VLOOKUP($Q2,data,14,FALSE))</f>
        <v>0</v>
      </c>
      <c r="AN2" s="26" t="s">
        <v>744</v>
      </c>
      <c r="AS2" s="26" t="s">
        <v>76</v>
      </c>
      <c r="AT2" s="26" t="s">
        <v>77</v>
      </c>
      <c r="AU2" s="26" t="s">
        <v>78</v>
      </c>
      <c r="AV2" s="31">
        <f t="shared" ref="AV2:AV62" ca="1" si="7">NOW()</f>
        <v>42376.365370717591</v>
      </c>
    </row>
    <row r="3" spans="1:48">
      <c r="A3" s="26">
        <v>7</v>
      </c>
      <c r="B3" s="26">
        <f>MONTH('Report Inputs'!$B$2)</f>
        <v>11</v>
      </c>
      <c r="C3" s="26">
        <f>YEAR('Report Inputs'!$B$2)</f>
        <v>2015</v>
      </c>
      <c r="D3" s="26">
        <v>66571</v>
      </c>
      <c r="F3" s="26" t="s">
        <v>65</v>
      </c>
      <c r="G3" s="26" t="s">
        <v>66</v>
      </c>
      <c r="H3" s="26" t="s">
        <v>67</v>
      </c>
      <c r="I3" s="26" t="s">
        <v>68</v>
      </c>
      <c r="J3" s="26" t="s">
        <v>69</v>
      </c>
      <c r="K3" s="26">
        <v>713</v>
      </c>
      <c r="L3" s="26" t="s">
        <v>70</v>
      </c>
      <c r="M3" s="26">
        <v>713</v>
      </c>
      <c r="N3" s="26" t="s">
        <v>71</v>
      </c>
      <c r="O3" s="26" t="s">
        <v>72</v>
      </c>
      <c r="P3" s="26">
        <v>45</v>
      </c>
      <c r="Q3" s="27">
        <v>6869</v>
      </c>
      <c r="R3" s="26">
        <v>0</v>
      </c>
      <c r="S3" s="26" t="s">
        <v>112</v>
      </c>
      <c r="T3" s="26" t="s">
        <v>80</v>
      </c>
      <c r="U3" s="26" t="str">
        <f t="shared" ref="U3:U67" si="8">IF(V3&gt;0,"PR","SI")</f>
        <v>PR</v>
      </c>
      <c r="V3" s="26">
        <f t="shared" si="0"/>
        <v>30</v>
      </c>
      <c r="W3" s="26" t="s">
        <v>86</v>
      </c>
      <c r="X3" s="26">
        <v>29</v>
      </c>
      <c r="Y3" s="26" t="s">
        <v>74</v>
      </c>
      <c r="Z3" s="26" t="s">
        <v>75</v>
      </c>
      <c r="AA3" s="28">
        <f>IF(ISNA(VLOOKUP($Q3,data,5,FALSE)),0,VLOOKUP($Q3,data,5,FALSE))</f>
        <v>0.17599999999999999</v>
      </c>
      <c r="AB3" s="28">
        <f>IF(ISNA(VLOOKUP($Q3,data,7,FALSE)),0,VLOOKUP($Q3,data,7,FALSE))</f>
        <v>4.5599999999999996</v>
      </c>
      <c r="AC3" s="28">
        <f>IF(ISNA(VLOOKUP($Q3,data,6,FALSE)),0,VLOOKUP($Q3,data,6,FALSE))</f>
        <v>4.5609999999999999</v>
      </c>
      <c r="AD3" s="28">
        <f t="shared" si="1"/>
        <v>0</v>
      </c>
      <c r="AE3" s="28">
        <f>IF(ISNA(VLOOKUP($Q3,data,13,FALSE)),0,VLOOKUP($Q3,data,13,FALSE))</f>
        <v>0.17499999999999999</v>
      </c>
      <c r="AF3" s="28">
        <f t="shared" si="2"/>
        <v>544.49</v>
      </c>
      <c r="AG3" s="28">
        <f t="shared" si="3"/>
        <v>0.92</v>
      </c>
      <c r="AH3" s="28">
        <f t="shared" si="4"/>
        <v>293.41899999999998</v>
      </c>
      <c r="AI3" s="28">
        <f t="shared" si="5"/>
        <v>0</v>
      </c>
      <c r="AJ3" s="28">
        <f t="shared" si="6"/>
        <v>250.15100000000001</v>
      </c>
      <c r="AK3" s="30">
        <f>'Report Inputs'!$F$2</f>
        <v>55.9</v>
      </c>
      <c r="AL3" s="28">
        <f>'Report Inputs'!$E$2</f>
        <v>1080</v>
      </c>
      <c r="AM3" s="28">
        <f>IF(ISNA(VLOOKUP($Q3,data,14,FALSE)),0,VLOOKUP($Q3,data,14,FALSE))</f>
        <v>11.381</v>
      </c>
      <c r="AN3" s="26" t="s">
        <v>744</v>
      </c>
      <c r="AS3" s="26" t="s">
        <v>76</v>
      </c>
      <c r="AT3" s="26" t="s">
        <v>77</v>
      </c>
      <c r="AU3" s="26" t="s">
        <v>78</v>
      </c>
      <c r="AV3" s="31">
        <f t="shared" ca="1" si="7"/>
        <v>42376.365370717591</v>
      </c>
    </row>
    <row r="4" spans="1:48" s="32" customFormat="1">
      <c r="A4" s="32">
        <v>7</v>
      </c>
      <c r="B4" s="32">
        <f>MONTH('Report Inputs'!$B$2)</f>
        <v>11</v>
      </c>
      <c r="C4" s="32">
        <f>YEAR('Report Inputs'!$B$2)</f>
        <v>2015</v>
      </c>
      <c r="D4" s="32">
        <v>66571</v>
      </c>
      <c r="F4" s="32" t="s">
        <v>65</v>
      </c>
      <c r="G4" s="32" t="s">
        <v>66</v>
      </c>
      <c r="H4" s="32" t="s">
        <v>67</v>
      </c>
      <c r="I4" s="32" t="s">
        <v>68</v>
      </c>
      <c r="J4" s="32" t="s">
        <v>69</v>
      </c>
      <c r="K4" s="32">
        <v>713</v>
      </c>
      <c r="L4" s="32" t="s">
        <v>70</v>
      </c>
      <c r="M4" s="32">
        <v>713</v>
      </c>
      <c r="N4" s="32" t="s">
        <v>71</v>
      </c>
      <c r="O4" s="32" t="s">
        <v>72</v>
      </c>
      <c r="P4" s="32">
        <v>45</v>
      </c>
      <c r="Q4" s="33">
        <v>6871</v>
      </c>
      <c r="R4" s="32">
        <v>0</v>
      </c>
      <c r="S4" s="32" t="s">
        <v>1029</v>
      </c>
      <c r="T4" s="32" t="s">
        <v>1030</v>
      </c>
      <c r="U4" s="32" t="str">
        <f>IF(V4&gt;0,"IJ","SI")</f>
        <v>IJ</v>
      </c>
      <c r="V4" s="32">
        <f t="shared" si="0"/>
        <v>4</v>
      </c>
      <c r="W4" s="32" t="s">
        <v>73</v>
      </c>
      <c r="X4" s="32">
        <v>4</v>
      </c>
      <c r="Y4" s="32" t="s">
        <v>74</v>
      </c>
      <c r="Z4" s="32" t="s">
        <v>75</v>
      </c>
      <c r="AA4" s="29"/>
      <c r="AB4" s="29"/>
      <c r="AC4" s="29"/>
      <c r="AD4" s="29"/>
      <c r="AE4" s="29"/>
      <c r="AF4" s="29"/>
      <c r="AG4" s="29"/>
      <c r="AH4" s="29"/>
      <c r="AI4" s="28"/>
      <c r="AJ4" s="29"/>
      <c r="AK4" s="34"/>
      <c r="AL4" s="29"/>
      <c r="AM4" s="29">
        <v>2231</v>
      </c>
      <c r="AO4" s="32">
        <v>138</v>
      </c>
      <c r="AP4" s="32">
        <v>0</v>
      </c>
      <c r="AS4" s="32" t="s">
        <v>76</v>
      </c>
      <c r="AT4" s="32" t="s">
        <v>77</v>
      </c>
      <c r="AU4" s="32" t="s">
        <v>78</v>
      </c>
      <c r="AV4" s="35">
        <f t="shared" ca="1" si="7"/>
        <v>42376.365370717591</v>
      </c>
    </row>
    <row r="5" spans="1:48" s="32" customFormat="1">
      <c r="A5" s="32">
        <v>7</v>
      </c>
      <c r="B5" s="32">
        <f>MONTH('Report Inputs'!$B$2)</f>
        <v>11</v>
      </c>
      <c r="C5" s="32">
        <f>YEAR('Report Inputs'!$B$2)</f>
        <v>2015</v>
      </c>
      <c r="D5" s="32">
        <v>66571</v>
      </c>
      <c r="F5" s="32" t="s">
        <v>65</v>
      </c>
      <c r="G5" s="32" t="s">
        <v>66</v>
      </c>
      <c r="H5" s="32" t="s">
        <v>67</v>
      </c>
      <c r="I5" s="32" t="s">
        <v>68</v>
      </c>
      <c r="J5" s="32" t="s">
        <v>69</v>
      </c>
      <c r="K5" s="32">
        <v>713</v>
      </c>
      <c r="L5" s="32" t="s">
        <v>70</v>
      </c>
      <c r="M5" s="32">
        <v>713</v>
      </c>
      <c r="N5" s="32" t="s">
        <v>71</v>
      </c>
      <c r="O5" s="32" t="s">
        <v>72</v>
      </c>
      <c r="P5" s="32">
        <v>45</v>
      </c>
      <c r="Q5" s="33">
        <v>6871</v>
      </c>
      <c r="R5" s="32">
        <v>0</v>
      </c>
      <c r="S5" s="32" t="s">
        <v>1028</v>
      </c>
      <c r="T5" s="32" t="s">
        <v>1031</v>
      </c>
      <c r="U5" s="32" t="str">
        <f t="shared" ref="U5:U6" si="9">IF(V5&gt;0,"IJ","SI")</f>
        <v>IJ</v>
      </c>
      <c r="V5" s="32">
        <f t="shared" si="0"/>
        <v>4</v>
      </c>
      <c r="W5" s="32" t="s">
        <v>73</v>
      </c>
      <c r="X5" s="32">
        <v>4</v>
      </c>
      <c r="Y5" s="32" t="s">
        <v>74</v>
      </c>
      <c r="Z5" s="32" t="s">
        <v>75</v>
      </c>
      <c r="AA5" s="29"/>
      <c r="AB5" s="29"/>
      <c r="AC5" s="29"/>
      <c r="AD5" s="29"/>
      <c r="AE5" s="29"/>
      <c r="AF5" s="29"/>
      <c r="AG5" s="29"/>
      <c r="AH5" s="29"/>
      <c r="AI5" s="28"/>
      <c r="AJ5" s="29"/>
      <c r="AK5" s="34"/>
      <c r="AL5" s="29"/>
      <c r="AM5" s="29">
        <v>744</v>
      </c>
      <c r="AO5" s="32">
        <v>138</v>
      </c>
      <c r="AP5" s="32">
        <v>0</v>
      </c>
      <c r="AS5" s="32" t="s">
        <v>76</v>
      </c>
      <c r="AT5" s="32" t="s">
        <v>77</v>
      </c>
      <c r="AU5" s="32" t="s">
        <v>78</v>
      </c>
      <c r="AV5" s="35">
        <f t="shared" ca="1" si="7"/>
        <v>42376.365370717591</v>
      </c>
    </row>
    <row r="6" spans="1:48" s="32" customFormat="1">
      <c r="A6" s="32">
        <v>7</v>
      </c>
      <c r="B6" s="32">
        <f>MONTH('Report Inputs'!$B$2)</f>
        <v>11</v>
      </c>
      <c r="C6" s="32">
        <f>YEAR('Report Inputs'!$B$2)</f>
        <v>2015</v>
      </c>
      <c r="D6" s="32">
        <v>66571</v>
      </c>
      <c r="F6" s="32" t="s">
        <v>65</v>
      </c>
      <c r="G6" s="32" t="s">
        <v>66</v>
      </c>
      <c r="H6" s="32" t="s">
        <v>67</v>
      </c>
      <c r="I6" s="32" t="s">
        <v>68</v>
      </c>
      <c r="J6" s="32" t="s">
        <v>69</v>
      </c>
      <c r="K6" s="32">
        <v>713</v>
      </c>
      <c r="L6" s="32" t="s">
        <v>70</v>
      </c>
      <c r="M6" s="32">
        <v>713</v>
      </c>
      <c r="N6" s="32" t="s">
        <v>71</v>
      </c>
      <c r="O6" s="32" t="s">
        <v>72</v>
      </c>
      <c r="P6" s="32">
        <v>45</v>
      </c>
      <c r="Q6" s="33">
        <v>6871</v>
      </c>
      <c r="R6" s="32">
        <v>0</v>
      </c>
      <c r="S6" s="32" t="s">
        <v>1028</v>
      </c>
      <c r="T6" s="32" t="s">
        <v>1032</v>
      </c>
      <c r="U6" s="32" t="str">
        <f t="shared" si="9"/>
        <v>IJ</v>
      </c>
      <c r="V6" s="32">
        <f t="shared" si="0"/>
        <v>4</v>
      </c>
      <c r="W6" s="32" t="s">
        <v>73</v>
      </c>
      <c r="X6" s="32">
        <v>4</v>
      </c>
      <c r="Y6" s="32" t="s">
        <v>74</v>
      </c>
      <c r="Z6" s="32" t="s">
        <v>75</v>
      </c>
      <c r="AA6" s="29"/>
      <c r="AB6" s="29"/>
      <c r="AC6" s="29"/>
      <c r="AD6" s="29"/>
      <c r="AE6" s="29"/>
      <c r="AF6" s="29"/>
      <c r="AG6" s="29"/>
      <c r="AH6" s="29"/>
      <c r="AI6" s="28"/>
      <c r="AJ6" s="29"/>
      <c r="AK6" s="34"/>
      <c r="AL6" s="29"/>
      <c r="AM6" s="29">
        <v>744</v>
      </c>
      <c r="AO6" s="32">
        <v>138</v>
      </c>
      <c r="AP6" s="32">
        <v>0</v>
      </c>
      <c r="AS6" s="32" t="s">
        <v>76</v>
      </c>
      <c r="AT6" s="32" t="s">
        <v>77</v>
      </c>
      <c r="AU6" s="32" t="s">
        <v>78</v>
      </c>
      <c r="AV6" s="35">
        <f t="shared" ca="1" si="7"/>
        <v>42376.365370717591</v>
      </c>
    </row>
    <row r="7" spans="1:48">
      <c r="A7" s="26">
        <v>7</v>
      </c>
      <c r="B7" s="26">
        <f>MONTH('Report Inputs'!$B$2)</f>
        <v>11</v>
      </c>
      <c r="C7" s="26">
        <f>YEAR('Report Inputs'!$B$2)</f>
        <v>2015</v>
      </c>
      <c r="D7" s="26">
        <v>66571</v>
      </c>
      <c r="F7" s="26" t="s">
        <v>65</v>
      </c>
      <c r="G7" s="26" t="s">
        <v>66</v>
      </c>
      <c r="H7" s="26" t="s">
        <v>67</v>
      </c>
      <c r="I7" s="26" t="s">
        <v>68</v>
      </c>
      <c r="J7" s="26" t="s">
        <v>69</v>
      </c>
      <c r="K7" s="26">
        <v>713</v>
      </c>
      <c r="L7" s="26" t="s">
        <v>70</v>
      </c>
      <c r="M7" s="26">
        <v>713</v>
      </c>
      <c r="N7" s="26" t="s">
        <v>71</v>
      </c>
      <c r="O7" s="26" t="s">
        <v>72</v>
      </c>
      <c r="P7" s="26">
        <v>45</v>
      </c>
      <c r="Q7" s="27">
        <v>6897</v>
      </c>
      <c r="R7" s="26">
        <v>0</v>
      </c>
      <c r="S7" s="26" t="s">
        <v>85</v>
      </c>
      <c r="T7" s="26" t="s">
        <v>80</v>
      </c>
      <c r="U7" s="26" t="str">
        <f t="shared" si="8"/>
        <v>PR</v>
      </c>
      <c r="V7" s="26">
        <f t="shared" si="0"/>
        <v>6</v>
      </c>
      <c r="W7" s="26" t="s">
        <v>86</v>
      </c>
      <c r="X7" s="26">
        <v>5</v>
      </c>
      <c r="Y7" s="26" t="s">
        <v>74</v>
      </c>
      <c r="Z7" s="26" t="s">
        <v>75</v>
      </c>
      <c r="AA7" s="28">
        <f t="shared" ref="AA7:AA37" si="10">IF(ISNA(VLOOKUP($Q7,data,5,FALSE)),0,VLOOKUP($Q7,data,5,FALSE))</f>
        <v>0.48299999999999998</v>
      </c>
      <c r="AB7" s="28">
        <f t="shared" ref="AB7:AB37" si="11">IF(ISNA(VLOOKUP($Q7,data,7,FALSE)),0,VLOOKUP($Q7,data,7,FALSE))</f>
        <v>1.4999999999999999E-2</v>
      </c>
      <c r="AC7" s="28">
        <f t="shared" ref="AC7:AC37" si="12">IF(ISNA(VLOOKUP($Q7,data,6,FALSE)),0,VLOOKUP($Q7,data,6,FALSE))</f>
        <v>0.46899999999999997</v>
      </c>
      <c r="AD7" s="28">
        <f t="shared" si="1"/>
        <v>0</v>
      </c>
      <c r="AE7" s="28">
        <f t="shared" ref="AE7:AE37" si="13">IF(ISNA(VLOOKUP($Q7,data,13,FALSE)),0,VLOOKUP($Q7,data,13,FALSE))</f>
        <v>2.9000000000000001E-2</v>
      </c>
      <c r="AF7" s="28">
        <f t="shared" si="2"/>
        <v>375.65</v>
      </c>
      <c r="AG7" s="28">
        <f t="shared" si="3"/>
        <v>0</v>
      </c>
      <c r="AH7" s="28">
        <f t="shared" si="4"/>
        <v>286.68599999999998</v>
      </c>
      <c r="AI7" s="28">
        <f t="shared" si="5"/>
        <v>0</v>
      </c>
      <c r="AJ7" s="28">
        <f t="shared" ref="AJ7:AJ28" si="14">IF(ISNA(VLOOKUP($Q7,data,8,FALSE)),0,VLOOKUP($Q7,data,8,FALSE))</f>
        <v>88.963999999999999</v>
      </c>
      <c r="AL7" s="28">
        <f>'Report Inputs'!$E$2</f>
        <v>1080</v>
      </c>
      <c r="AM7" s="28">
        <f t="shared" ref="AM7:AM37" si="15">IF(ISNA(VLOOKUP($Q7,data,14,FALSE)),0,VLOOKUP($Q7,data,14,FALSE))</f>
        <v>2.5999999999999999E-2</v>
      </c>
      <c r="AN7" s="26" t="s">
        <v>744</v>
      </c>
      <c r="AS7" s="26" t="s">
        <v>76</v>
      </c>
      <c r="AT7" s="26" t="s">
        <v>77</v>
      </c>
      <c r="AU7" s="26" t="s">
        <v>78</v>
      </c>
      <c r="AV7" s="31">
        <f t="shared" ca="1" si="7"/>
        <v>42376.365370717591</v>
      </c>
    </row>
    <row r="8" spans="1:48">
      <c r="A8" s="26">
        <v>7</v>
      </c>
      <c r="B8" s="26">
        <f>MONTH('Report Inputs'!$B$2)</f>
        <v>11</v>
      </c>
      <c r="C8" s="26">
        <f>YEAR('Report Inputs'!$B$2)</f>
        <v>2015</v>
      </c>
      <c r="D8" s="26">
        <v>66571</v>
      </c>
      <c r="F8" s="26" t="s">
        <v>65</v>
      </c>
      <c r="G8" s="26" t="s">
        <v>66</v>
      </c>
      <c r="H8" s="26" t="s">
        <v>67</v>
      </c>
      <c r="I8" s="26" t="s">
        <v>68</v>
      </c>
      <c r="J8" s="26" t="s">
        <v>69</v>
      </c>
      <c r="K8" s="26">
        <v>713</v>
      </c>
      <c r="L8" s="26" t="s">
        <v>70</v>
      </c>
      <c r="M8" s="26">
        <v>713</v>
      </c>
      <c r="N8" s="26" t="s">
        <v>71</v>
      </c>
      <c r="O8" s="26" t="s">
        <v>72</v>
      </c>
      <c r="P8" s="26">
        <v>45</v>
      </c>
      <c r="Q8" s="27">
        <v>7210</v>
      </c>
      <c r="R8" s="26">
        <v>0</v>
      </c>
      <c r="S8" s="26" t="s">
        <v>89</v>
      </c>
      <c r="T8" s="26" t="s">
        <v>83</v>
      </c>
      <c r="U8" s="26" t="str">
        <f t="shared" si="8"/>
        <v>PR</v>
      </c>
      <c r="V8" s="26">
        <f t="shared" si="0"/>
        <v>27</v>
      </c>
      <c r="W8" s="26" t="s">
        <v>90</v>
      </c>
      <c r="X8" s="26">
        <v>5</v>
      </c>
      <c r="Y8" s="26" t="s">
        <v>74</v>
      </c>
      <c r="Z8" s="26" t="s">
        <v>75</v>
      </c>
      <c r="AA8" s="28">
        <f t="shared" si="10"/>
        <v>9.1999999999999998E-2</v>
      </c>
      <c r="AB8" s="28">
        <f t="shared" si="11"/>
        <v>0.14399999999999999</v>
      </c>
      <c r="AC8" s="28">
        <f t="shared" si="12"/>
        <v>0.183</v>
      </c>
      <c r="AD8" s="28">
        <f t="shared" si="1"/>
        <v>0</v>
      </c>
      <c r="AE8" s="28">
        <f t="shared" si="13"/>
        <v>5.2999999999999999E-2</v>
      </c>
      <c r="AF8" s="28">
        <f t="shared" si="2"/>
        <v>1144.1500000000001</v>
      </c>
      <c r="AG8" s="28">
        <f t="shared" si="3"/>
        <v>0</v>
      </c>
      <c r="AH8" s="28">
        <f t="shared" si="4"/>
        <v>320.03699999999998</v>
      </c>
      <c r="AI8" s="28">
        <f t="shared" si="5"/>
        <v>0</v>
      </c>
      <c r="AJ8" s="28">
        <f t="shared" si="14"/>
        <v>824.11300000000006</v>
      </c>
      <c r="AL8" s="28">
        <f>'Report Inputs'!$E$2</f>
        <v>1080</v>
      </c>
      <c r="AM8" s="28">
        <f t="shared" si="15"/>
        <v>60.194000000000003</v>
      </c>
      <c r="AN8" s="26" t="s">
        <v>744</v>
      </c>
      <c r="AS8" s="26" t="s">
        <v>76</v>
      </c>
      <c r="AT8" s="26" t="s">
        <v>77</v>
      </c>
      <c r="AU8" s="26" t="s">
        <v>78</v>
      </c>
      <c r="AV8" s="31">
        <f t="shared" ca="1" si="7"/>
        <v>42376.365370717591</v>
      </c>
    </row>
    <row r="9" spans="1:48">
      <c r="A9" s="26">
        <v>7</v>
      </c>
      <c r="B9" s="26">
        <f>MONTH('Report Inputs'!$B$2)</f>
        <v>11</v>
      </c>
      <c r="C9" s="26">
        <f>YEAR('Report Inputs'!$B$2)</f>
        <v>2015</v>
      </c>
      <c r="D9" s="26">
        <v>66571</v>
      </c>
      <c r="F9" s="26" t="s">
        <v>65</v>
      </c>
      <c r="G9" s="26" t="s">
        <v>66</v>
      </c>
      <c r="H9" s="26" t="s">
        <v>67</v>
      </c>
      <c r="I9" s="26" t="s">
        <v>68</v>
      </c>
      <c r="J9" s="26" t="s">
        <v>69</v>
      </c>
      <c r="K9" s="26">
        <v>713</v>
      </c>
      <c r="L9" s="26" t="s">
        <v>70</v>
      </c>
      <c r="M9" s="26">
        <v>713</v>
      </c>
      <c r="N9" s="26" t="s">
        <v>71</v>
      </c>
      <c r="O9" s="26" t="s">
        <v>72</v>
      </c>
      <c r="P9" s="26">
        <v>45</v>
      </c>
      <c r="Q9" s="27">
        <v>7211</v>
      </c>
      <c r="R9" s="26">
        <v>0</v>
      </c>
      <c r="S9" s="26" t="s">
        <v>108</v>
      </c>
      <c r="T9" s="26" t="s">
        <v>83</v>
      </c>
      <c r="U9" s="26" t="str">
        <f t="shared" si="8"/>
        <v>PR</v>
      </c>
      <c r="V9" s="26">
        <f t="shared" si="0"/>
        <v>30</v>
      </c>
      <c r="W9" s="26" t="s">
        <v>103</v>
      </c>
      <c r="X9" s="26">
        <v>20</v>
      </c>
      <c r="Y9" s="26" t="s">
        <v>74</v>
      </c>
      <c r="Z9" s="26" t="s">
        <v>75</v>
      </c>
      <c r="AA9" s="28">
        <f t="shared" si="10"/>
        <v>0.121</v>
      </c>
      <c r="AB9" s="28">
        <f t="shared" si="11"/>
        <v>0.82499999999999996</v>
      </c>
      <c r="AC9" s="28">
        <f t="shared" si="12"/>
        <v>0.84</v>
      </c>
      <c r="AD9" s="28">
        <f t="shared" si="1"/>
        <v>0</v>
      </c>
      <c r="AE9" s="28">
        <f t="shared" si="13"/>
        <v>0.106</v>
      </c>
      <c r="AF9" s="28">
        <f t="shared" si="2"/>
        <v>1578.99</v>
      </c>
      <c r="AG9" s="28">
        <f t="shared" si="3"/>
        <v>0.12</v>
      </c>
      <c r="AH9" s="28">
        <f t="shared" si="4"/>
        <v>149.41999999999999</v>
      </c>
      <c r="AI9" s="28">
        <f t="shared" si="5"/>
        <v>1</v>
      </c>
      <c r="AJ9" s="28">
        <f t="shared" si="14"/>
        <v>1429.45</v>
      </c>
      <c r="AK9" s="30">
        <f>'Report Inputs'!$F$2</f>
        <v>55.9</v>
      </c>
      <c r="AL9" s="28">
        <f>'Report Inputs'!$E$2</f>
        <v>1080</v>
      </c>
      <c r="AM9" s="28">
        <f t="shared" si="15"/>
        <v>14.839</v>
      </c>
      <c r="AN9" s="26" t="s">
        <v>744</v>
      </c>
      <c r="AS9" s="26" t="s">
        <v>76</v>
      </c>
      <c r="AT9" s="26" t="s">
        <v>77</v>
      </c>
      <c r="AU9" s="26" t="s">
        <v>78</v>
      </c>
      <c r="AV9" s="31">
        <f t="shared" ca="1" si="7"/>
        <v>42376.365370717591</v>
      </c>
    </row>
    <row r="10" spans="1:48">
      <c r="A10" s="26">
        <v>7</v>
      </c>
      <c r="B10" s="26">
        <f>MONTH('Report Inputs'!$B$2)</f>
        <v>11</v>
      </c>
      <c r="C10" s="26">
        <f>YEAR('Report Inputs'!$B$2)</f>
        <v>2015</v>
      </c>
      <c r="D10" s="26">
        <v>66571</v>
      </c>
      <c r="F10" s="26" t="s">
        <v>65</v>
      </c>
      <c r="G10" s="26" t="s">
        <v>66</v>
      </c>
      <c r="H10" s="26" t="s">
        <v>67</v>
      </c>
      <c r="I10" s="26" t="s">
        <v>68</v>
      </c>
      <c r="J10" s="26" t="s">
        <v>69</v>
      </c>
      <c r="K10" s="26">
        <v>713</v>
      </c>
      <c r="L10" s="26" t="s">
        <v>70</v>
      </c>
      <c r="M10" s="26">
        <v>713</v>
      </c>
      <c r="N10" s="26" t="s">
        <v>71</v>
      </c>
      <c r="O10" s="26" t="s">
        <v>72</v>
      </c>
      <c r="P10" s="26">
        <v>45</v>
      </c>
      <c r="Q10" s="27">
        <v>7320</v>
      </c>
      <c r="R10" s="26">
        <v>0</v>
      </c>
      <c r="S10" s="26" t="s">
        <v>97</v>
      </c>
      <c r="T10" s="26" t="s">
        <v>80</v>
      </c>
      <c r="U10" s="26" t="str">
        <f t="shared" si="8"/>
        <v>SI</v>
      </c>
      <c r="V10" s="26">
        <f t="shared" si="0"/>
        <v>0</v>
      </c>
      <c r="W10" s="26" t="s">
        <v>86</v>
      </c>
      <c r="X10" s="26">
        <v>9</v>
      </c>
      <c r="Y10" s="26" t="s">
        <v>74</v>
      </c>
      <c r="Z10" s="26" t="s">
        <v>75</v>
      </c>
      <c r="AA10" s="28">
        <f t="shared" si="10"/>
        <v>0</v>
      </c>
      <c r="AB10" s="28">
        <f t="shared" si="11"/>
        <v>0</v>
      </c>
      <c r="AC10" s="28">
        <f t="shared" si="12"/>
        <v>0</v>
      </c>
      <c r="AD10" s="28">
        <f t="shared" si="1"/>
        <v>0</v>
      </c>
      <c r="AE10" s="28">
        <f t="shared" si="13"/>
        <v>0</v>
      </c>
      <c r="AF10" s="28">
        <f t="shared" si="2"/>
        <v>0</v>
      </c>
      <c r="AG10" s="28">
        <f t="shared" si="3"/>
        <v>0</v>
      </c>
      <c r="AH10" s="28">
        <f t="shared" si="4"/>
        <v>0</v>
      </c>
      <c r="AI10" s="28">
        <f t="shared" si="5"/>
        <v>0</v>
      </c>
      <c r="AJ10" s="28">
        <f t="shared" si="14"/>
        <v>0</v>
      </c>
      <c r="AM10" s="28">
        <f t="shared" si="15"/>
        <v>0</v>
      </c>
      <c r="AN10" s="26" t="s">
        <v>744</v>
      </c>
      <c r="AS10" s="26" t="s">
        <v>76</v>
      </c>
      <c r="AT10" s="26" t="s">
        <v>77</v>
      </c>
      <c r="AU10" s="26" t="s">
        <v>78</v>
      </c>
      <c r="AV10" s="31">
        <f t="shared" ca="1" si="7"/>
        <v>42376.365370717591</v>
      </c>
    </row>
    <row r="11" spans="1:48">
      <c r="A11" s="26">
        <v>7</v>
      </c>
      <c r="B11" s="26">
        <f>MONTH('Report Inputs'!$B$2)</f>
        <v>11</v>
      </c>
      <c r="C11" s="26">
        <f>YEAR('Report Inputs'!$B$2)</f>
        <v>2015</v>
      </c>
      <c r="D11" s="26">
        <v>66571</v>
      </c>
      <c r="F11" s="26" t="s">
        <v>65</v>
      </c>
      <c r="G11" s="26" t="s">
        <v>66</v>
      </c>
      <c r="H11" s="26" t="s">
        <v>67</v>
      </c>
      <c r="I11" s="26" t="s">
        <v>68</v>
      </c>
      <c r="J11" s="26" t="s">
        <v>69</v>
      </c>
      <c r="K11" s="26">
        <v>713</v>
      </c>
      <c r="L11" s="26" t="s">
        <v>70</v>
      </c>
      <c r="M11" s="26">
        <v>713</v>
      </c>
      <c r="N11" s="26" t="s">
        <v>71</v>
      </c>
      <c r="O11" s="26" t="s">
        <v>72</v>
      </c>
      <c r="P11" s="26">
        <v>45</v>
      </c>
      <c r="Q11" s="27">
        <v>7450</v>
      </c>
      <c r="R11" s="26">
        <v>0</v>
      </c>
      <c r="S11" s="26" t="s">
        <v>104</v>
      </c>
      <c r="T11" s="26" t="s">
        <v>83</v>
      </c>
      <c r="U11" s="26" t="str">
        <f t="shared" si="8"/>
        <v>PR</v>
      </c>
      <c r="V11" s="26">
        <f t="shared" si="0"/>
        <v>30</v>
      </c>
      <c r="W11" s="26" t="s">
        <v>101</v>
      </c>
      <c r="X11" s="26">
        <v>17</v>
      </c>
      <c r="Y11" s="26" t="s">
        <v>74</v>
      </c>
      <c r="Z11" s="26" t="s">
        <v>75</v>
      </c>
      <c r="AA11" s="28">
        <f t="shared" si="10"/>
        <v>0.155</v>
      </c>
      <c r="AB11" s="28">
        <f t="shared" si="11"/>
        <v>2.3919999999999999</v>
      </c>
      <c r="AC11" s="28">
        <f t="shared" si="12"/>
        <v>2.3940000000000001</v>
      </c>
      <c r="AD11" s="28">
        <f t="shared" si="1"/>
        <v>0</v>
      </c>
      <c r="AE11" s="28">
        <f t="shared" si="13"/>
        <v>0.153</v>
      </c>
      <c r="AF11" s="28">
        <f t="shared" si="2"/>
        <v>1526.33</v>
      </c>
      <c r="AG11" s="28">
        <f t="shared" si="3"/>
        <v>0.44</v>
      </c>
      <c r="AH11" s="28">
        <f t="shared" si="4"/>
        <v>273.50700000000001</v>
      </c>
      <c r="AI11" s="28">
        <f t="shared" si="5"/>
        <v>0</v>
      </c>
      <c r="AJ11" s="28">
        <f t="shared" si="14"/>
        <v>1252.383</v>
      </c>
      <c r="AK11" s="30">
        <f>'Report Inputs'!$F$2</f>
        <v>55.9</v>
      </c>
      <c r="AL11" s="28">
        <f>'Report Inputs'!$E$2</f>
        <v>1080</v>
      </c>
      <c r="AM11" s="28">
        <f t="shared" si="15"/>
        <v>25.885000000000002</v>
      </c>
      <c r="AN11" s="26" t="s">
        <v>744</v>
      </c>
      <c r="AS11" s="26" t="s">
        <v>76</v>
      </c>
      <c r="AT11" s="26" t="s">
        <v>77</v>
      </c>
      <c r="AU11" s="26" t="s">
        <v>78</v>
      </c>
      <c r="AV11" s="31">
        <f t="shared" ca="1" si="7"/>
        <v>42376.365370717591</v>
      </c>
    </row>
    <row r="12" spans="1:48">
      <c r="A12" s="26">
        <v>7</v>
      </c>
      <c r="B12" s="26">
        <f>MONTH('Report Inputs'!$B$2)</f>
        <v>11</v>
      </c>
      <c r="C12" s="26">
        <f>YEAR('Report Inputs'!$B$2)</f>
        <v>2015</v>
      </c>
      <c r="D12" s="26">
        <v>66571</v>
      </c>
      <c r="F12" s="26" t="s">
        <v>65</v>
      </c>
      <c r="G12" s="26" t="s">
        <v>66</v>
      </c>
      <c r="H12" s="26" t="s">
        <v>67</v>
      </c>
      <c r="I12" s="26" t="s">
        <v>68</v>
      </c>
      <c r="J12" s="26" t="s">
        <v>69</v>
      </c>
      <c r="K12" s="26">
        <v>713</v>
      </c>
      <c r="L12" s="26" t="s">
        <v>70</v>
      </c>
      <c r="M12" s="26">
        <v>713</v>
      </c>
      <c r="N12" s="26" t="s">
        <v>71</v>
      </c>
      <c r="O12" s="26" t="s">
        <v>72</v>
      </c>
      <c r="P12" s="26">
        <v>45</v>
      </c>
      <c r="Q12" s="27">
        <v>7519</v>
      </c>
      <c r="R12" s="26">
        <v>0</v>
      </c>
      <c r="S12" s="26" t="s">
        <v>93</v>
      </c>
      <c r="T12" s="26" t="s">
        <v>83</v>
      </c>
      <c r="U12" s="26" t="str">
        <f t="shared" si="8"/>
        <v>PR</v>
      </c>
      <c r="V12" s="26">
        <f t="shared" si="0"/>
        <v>30</v>
      </c>
      <c r="W12" s="26" t="s">
        <v>94</v>
      </c>
      <c r="X12" s="26">
        <v>8</v>
      </c>
      <c r="Y12" s="26" t="s">
        <v>74</v>
      </c>
      <c r="Z12" s="26" t="s">
        <v>75</v>
      </c>
      <c r="AA12" s="28">
        <f t="shared" si="10"/>
        <v>0.224</v>
      </c>
      <c r="AB12" s="28">
        <f t="shared" si="11"/>
        <v>0.22900000000000001</v>
      </c>
      <c r="AC12" s="28">
        <f t="shared" si="12"/>
        <v>0.374</v>
      </c>
      <c r="AD12" s="28">
        <f t="shared" si="1"/>
        <v>0</v>
      </c>
      <c r="AE12" s="28">
        <f t="shared" si="13"/>
        <v>7.9000000000000001E-2</v>
      </c>
      <c r="AF12" s="28">
        <f t="shared" si="2"/>
        <v>1825.78</v>
      </c>
      <c r="AG12" s="28">
        <f t="shared" si="3"/>
        <v>0</v>
      </c>
      <c r="AH12" s="28">
        <f t="shared" si="4"/>
        <v>508.15699999999998</v>
      </c>
      <c r="AI12" s="28">
        <f t="shared" si="5"/>
        <v>0</v>
      </c>
      <c r="AJ12" s="28">
        <f t="shared" si="14"/>
        <v>1317.623</v>
      </c>
      <c r="AL12" s="28">
        <f>'Report Inputs'!$E$2</f>
        <v>1080</v>
      </c>
      <c r="AM12" s="28">
        <f t="shared" si="15"/>
        <v>40.460999999999999</v>
      </c>
      <c r="AN12" s="26" t="s">
        <v>744</v>
      </c>
      <c r="AS12" s="26" t="s">
        <v>76</v>
      </c>
      <c r="AT12" s="26" t="s">
        <v>77</v>
      </c>
      <c r="AU12" s="26" t="s">
        <v>78</v>
      </c>
      <c r="AV12" s="31">
        <f t="shared" ca="1" si="7"/>
        <v>42376.365370717591</v>
      </c>
    </row>
    <row r="13" spans="1:48">
      <c r="A13" s="26">
        <v>7</v>
      </c>
      <c r="B13" s="26">
        <f>MONTH('Report Inputs'!$B$2)</f>
        <v>11</v>
      </c>
      <c r="C13" s="26">
        <f>YEAR('Report Inputs'!$B$2)</f>
        <v>2015</v>
      </c>
      <c r="D13" s="26">
        <v>66571</v>
      </c>
      <c r="F13" s="26" t="s">
        <v>65</v>
      </c>
      <c r="G13" s="26" t="s">
        <v>66</v>
      </c>
      <c r="H13" s="26" t="s">
        <v>67</v>
      </c>
      <c r="I13" s="26" t="s">
        <v>68</v>
      </c>
      <c r="J13" s="26" t="s">
        <v>69</v>
      </c>
      <c r="K13" s="26">
        <v>713</v>
      </c>
      <c r="L13" s="26" t="s">
        <v>70</v>
      </c>
      <c r="M13" s="26">
        <v>713</v>
      </c>
      <c r="N13" s="26" t="s">
        <v>71</v>
      </c>
      <c r="O13" s="26" t="s">
        <v>72</v>
      </c>
      <c r="P13" s="26">
        <v>45</v>
      </c>
      <c r="Q13" s="27">
        <v>7521</v>
      </c>
      <c r="R13" s="26">
        <v>0</v>
      </c>
      <c r="S13" s="26" t="s">
        <v>110</v>
      </c>
      <c r="T13" s="26" t="s">
        <v>83</v>
      </c>
      <c r="U13" s="26" t="str">
        <f t="shared" si="8"/>
        <v>PR</v>
      </c>
      <c r="V13" s="26">
        <f t="shared" si="0"/>
        <v>30</v>
      </c>
      <c r="W13" s="26" t="s">
        <v>90</v>
      </c>
      <c r="X13" s="26">
        <v>20</v>
      </c>
      <c r="Y13" s="26" t="s">
        <v>74</v>
      </c>
      <c r="Z13" s="26" t="s">
        <v>75</v>
      </c>
      <c r="AA13" s="28">
        <f t="shared" si="10"/>
        <v>0.497</v>
      </c>
      <c r="AB13" s="28">
        <f t="shared" si="11"/>
        <v>13.048</v>
      </c>
      <c r="AC13" s="28">
        <f t="shared" si="12"/>
        <v>13.013999999999999</v>
      </c>
      <c r="AD13" s="28">
        <f t="shared" si="1"/>
        <v>1</v>
      </c>
      <c r="AE13" s="28">
        <f t="shared" si="13"/>
        <v>0.53100000000000003</v>
      </c>
      <c r="AF13" s="28">
        <f t="shared" si="2"/>
        <v>1647.37</v>
      </c>
      <c r="AG13" s="28">
        <f t="shared" si="3"/>
        <v>2.6</v>
      </c>
      <c r="AH13" s="28">
        <f t="shared" si="4"/>
        <v>341.20800000000003</v>
      </c>
      <c r="AI13" s="28">
        <f t="shared" si="5"/>
        <v>-1</v>
      </c>
      <c r="AJ13" s="28">
        <f t="shared" si="14"/>
        <v>1303.5619999999999</v>
      </c>
      <c r="AK13" s="30">
        <f>'Report Inputs'!$F$2</f>
        <v>55.9</v>
      </c>
      <c r="AL13" s="28">
        <f>'Report Inputs'!$E$2</f>
        <v>1080</v>
      </c>
      <c r="AM13" s="28">
        <f t="shared" si="15"/>
        <v>165.22200000000001</v>
      </c>
      <c r="AN13" s="26" t="s">
        <v>744</v>
      </c>
      <c r="AS13" s="26" t="s">
        <v>76</v>
      </c>
      <c r="AT13" s="26" t="s">
        <v>77</v>
      </c>
      <c r="AU13" s="26" t="s">
        <v>78</v>
      </c>
      <c r="AV13" s="31">
        <f t="shared" ca="1" si="7"/>
        <v>42376.365370717591</v>
      </c>
    </row>
    <row r="14" spans="1:48">
      <c r="A14" s="26">
        <v>7</v>
      </c>
      <c r="B14" s="26">
        <f>MONTH('Report Inputs'!$B$2)</f>
        <v>11</v>
      </c>
      <c r="C14" s="26">
        <f>YEAR('Report Inputs'!$B$2)</f>
        <v>2015</v>
      </c>
      <c r="D14" s="26">
        <v>66571</v>
      </c>
      <c r="F14" s="26" t="s">
        <v>65</v>
      </c>
      <c r="G14" s="26" t="s">
        <v>66</v>
      </c>
      <c r="H14" s="26" t="s">
        <v>67</v>
      </c>
      <c r="I14" s="26" t="s">
        <v>68</v>
      </c>
      <c r="J14" s="26" t="s">
        <v>69</v>
      </c>
      <c r="K14" s="26">
        <v>713</v>
      </c>
      <c r="L14" s="26" t="s">
        <v>70</v>
      </c>
      <c r="M14" s="26">
        <v>713</v>
      </c>
      <c r="N14" s="26" t="s">
        <v>71</v>
      </c>
      <c r="O14" s="26" t="s">
        <v>72</v>
      </c>
      <c r="P14" s="26">
        <v>45</v>
      </c>
      <c r="Q14" s="27">
        <v>7522</v>
      </c>
      <c r="R14" s="26">
        <v>0</v>
      </c>
      <c r="S14" s="26" t="s">
        <v>91</v>
      </c>
      <c r="T14" s="26" t="s">
        <v>83</v>
      </c>
      <c r="U14" s="26" t="str">
        <f t="shared" si="8"/>
        <v>PR</v>
      </c>
      <c r="V14" s="26">
        <f t="shared" si="0"/>
        <v>30</v>
      </c>
      <c r="W14" s="26" t="s">
        <v>92</v>
      </c>
      <c r="X14" s="26">
        <v>5</v>
      </c>
      <c r="Y14" s="26" t="s">
        <v>74</v>
      </c>
      <c r="Z14" s="26" t="s">
        <v>75</v>
      </c>
      <c r="AA14" s="28">
        <f t="shared" si="10"/>
        <v>0.95</v>
      </c>
      <c r="AB14" s="28">
        <f t="shared" si="11"/>
        <v>13.816000000000001</v>
      </c>
      <c r="AC14" s="28">
        <f t="shared" si="12"/>
        <v>13.958</v>
      </c>
      <c r="AD14" s="28">
        <f t="shared" si="1"/>
        <v>0</v>
      </c>
      <c r="AE14" s="28">
        <f t="shared" si="13"/>
        <v>0.80800000000000005</v>
      </c>
      <c r="AF14" s="28">
        <f t="shared" si="2"/>
        <v>6440.96</v>
      </c>
      <c r="AG14" s="28">
        <f t="shared" si="3"/>
        <v>2.59</v>
      </c>
      <c r="AH14" s="28">
        <f t="shared" si="4"/>
        <v>482.28</v>
      </c>
      <c r="AI14" s="28">
        <f t="shared" si="5"/>
        <v>0</v>
      </c>
      <c r="AJ14" s="28">
        <f t="shared" si="14"/>
        <v>5956.09</v>
      </c>
      <c r="AK14" s="30">
        <f>'Report Inputs'!$F$2</f>
        <v>55.9</v>
      </c>
      <c r="AL14" s="28">
        <f>'Report Inputs'!$E$2</f>
        <v>1080</v>
      </c>
      <c r="AM14" s="28">
        <f t="shared" si="15"/>
        <v>274.88</v>
      </c>
      <c r="AN14" s="26" t="s">
        <v>744</v>
      </c>
      <c r="AS14" s="26" t="s">
        <v>76</v>
      </c>
      <c r="AT14" s="26" t="s">
        <v>77</v>
      </c>
      <c r="AU14" s="26" t="s">
        <v>78</v>
      </c>
      <c r="AV14" s="31">
        <f t="shared" ca="1" si="7"/>
        <v>42376.365370717591</v>
      </c>
    </row>
    <row r="15" spans="1:48">
      <c r="A15" s="26">
        <v>7</v>
      </c>
      <c r="B15" s="26">
        <f>MONTH('Report Inputs'!$B$2)</f>
        <v>11</v>
      </c>
      <c r="C15" s="26">
        <f>YEAR('Report Inputs'!$B$2)</f>
        <v>2015</v>
      </c>
      <c r="D15" s="26">
        <v>66571</v>
      </c>
      <c r="F15" s="26" t="s">
        <v>65</v>
      </c>
      <c r="G15" s="26" t="s">
        <v>66</v>
      </c>
      <c r="H15" s="26" t="s">
        <v>67</v>
      </c>
      <c r="I15" s="26" t="s">
        <v>68</v>
      </c>
      <c r="J15" s="26" t="s">
        <v>69</v>
      </c>
      <c r="K15" s="26">
        <v>713</v>
      </c>
      <c r="L15" s="26" t="s">
        <v>70</v>
      </c>
      <c r="M15" s="26">
        <v>713</v>
      </c>
      <c r="N15" s="26" t="s">
        <v>71</v>
      </c>
      <c r="O15" s="26" t="s">
        <v>72</v>
      </c>
      <c r="P15" s="26">
        <v>45</v>
      </c>
      <c r="Q15" s="27">
        <v>7810</v>
      </c>
      <c r="R15" s="26">
        <v>0</v>
      </c>
      <c r="S15" s="26" t="s">
        <v>105</v>
      </c>
      <c r="T15" s="26" t="s">
        <v>80</v>
      </c>
      <c r="U15" s="26" t="str">
        <f t="shared" si="8"/>
        <v>PR</v>
      </c>
      <c r="V15" s="26">
        <f t="shared" si="0"/>
        <v>30</v>
      </c>
      <c r="W15" s="26" t="s">
        <v>94</v>
      </c>
      <c r="X15" s="26">
        <v>17</v>
      </c>
      <c r="Y15" s="26" t="s">
        <v>74</v>
      </c>
      <c r="Z15" s="26" t="s">
        <v>75</v>
      </c>
      <c r="AA15" s="28">
        <f t="shared" si="10"/>
        <v>0.33300000000000002</v>
      </c>
      <c r="AB15" s="28">
        <f t="shared" si="11"/>
        <v>11.132</v>
      </c>
      <c r="AC15" s="28">
        <f t="shared" si="12"/>
        <v>10.909000000000001</v>
      </c>
      <c r="AD15" s="28">
        <f t="shared" si="1"/>
        <v>1</v>
      </c>
      <c r="AE15" s="28">
        <f t="shared" si="13"/>
        <v>0.55600000000000005</v>
      </c>
      <c r="AF15" s="28">
        <f t="shared" si="2"/>
        <v>3439.1</v>
      </c>
      <c r="AG15" s="28">
        <f t="shared" si="3"/>
        <v>2.15</v>
      </c>
      <c r="AH15" s="28">
        <f t="shared" si="4"/>
        <v>419.541</v>
      </c>
      <c r="AI15" s="28">
        <f t="shared" si="5"/>
        <v>0</v>
      </c>
      <c r="AJ15" s="28">
        <f t="shared" si="14"/>
        <v>3017.4090000000001</v>
      </c>
      <c r="AK15" s="30">
        <f>'Report Inputs'!$F$2</f>
        <v>55.9</v>
      </c>
      <c r="AL15" s="28">
        <f>'Report Inputs'!$E$2</f>
        <v>1080</v>
      </c>
      <c r="AM15" s="28">
        <f t="shared" si="15"/>
        <v>49.226999999999997</v>
      </c>
      <c r="AN15" s="26" t="s">
        <v>744</v>
      </c>
      <c r="AS15" s="26" t="s">
        <v>76</v>
      </c>
      <c r="AT15" s="26" t="s">
        <v>77</v>
      </c>
      <c r="AU15" s="26" t="s">
        <v>78</v>
      </c>
      <c r="AV15" s="31">
        <f t="shared" ca="1" si="7"/>
        <v>42376.365370717591</v>
      </c>
    </row>
    <row r="16" spans="1:48">
      <c r="A16" s="26">
        <v>7</v>
      </c>
      <c r="B16" s="26">
        <f>MONTH('Report Inputs'!$B$2)</f>
        <v>11</v>
      </c>
      <c r="C16" s="26">
        <f>YEAR('Report Inputs'!$B$2)</f>
        <v>2015</v>
      </c>
      <c r="D16" s="26">
        <v>66571</v>
      </c>
      <c r="F16" s="26" t="s">
        <v>65</v>
      </c>
      <c r="G16" s="26" t="s">
        <v>66</v>
      </c>
      <c r="H16" s="26" t="s">
        <v>67</v>
      </c>
      <c r="I16" s="26" t="s">
        <v>68</v>
      </c>
      <c r="J16" s="26" t="s">
        <v>69</v>
      </c>
      <c r="K16" s="26">
        <v>713</v>
      </c>
      <c r="L16" s="26" t="s">
        <v>70</v>
      </c>
      <c r="M16" s="26">
        <v>713</v>
      </c>
      <c r="N16" s="26" t="s">
        <v>71</v>
      </c>
      <c r="O16" s="26" t="s">
        <v>72</v>
      </c>
      <c r="P16" s="26">
        <v>45</v>
      </c>
      <c r="Q16" s="27">
        <v>7811</v>
      </c>
      <c r="R16" s="26">
        <v>0</v>
      </c>
      <c r="S16" s="26" t="s">
        <v>114</v>
      </c>
      <c r="T16" s="26" t="s">
        <v>83</v>
      </c>
      <c r="U16" s="26" t="str">
        <f t="shared" si="8"/>
        <v>PR</v>
      </c>
      <c r="V16" s="26">
        <f t="shared" si="0"/>
        <v>30</v>
      </c>
      <c r="W16" s="26" t="s">
        <v>115</v>
      </c>
      <c r="X16" s="26">
        <v>29</v>
      </c>
      <c r="Y16" s="26" t="s">
        <v>74</v>
      </c>
      <c r="Z16" s="26" t="s">
        <v>75</v>
      </c>
      <c r="AA16" s="28">
        <f t="shared" si="10"/>
        <v>0.96</v>
      </c>
      <c r="AB16" s="28">
        <f t="shared" si="11"/>
        <v>14.025</v>
      </c>
      <c r="AC16" s="28">
        <f t="shared" si="12"/>
        <v>14.385999999999999</v>
      </c>
      <c r="AD16" s="28">
        <f t="shared" si="1"/>
        <v>0</v>
      </c>
      <c r="AE16" s="28">
        <f t="shared" si="13"/>
        <v>0.59899999999999998</v>
      </c>
      <c r="AF16" s="28">
        <f t="shared" si="2"/>
        <v>2252.4499999999998</v>
      </c>
      <c r="AG16" s="28">
        <f t="shared" si="3"/>
        <v>2.78</v>
      </c>
      <c r="AH16" s="28">
        <f t="shared" si="4"/>
        <v>300.49799999999999</v>
      </c>
      <c r="AI16" s="28">
        <f t="shared" si="5"/>
        <v>0</v>
      </c>
      <c r="AJ16" s="28">
        <f t="shared" si="14"/>
        <v>1949.172</v>
      </c>
      <c r="AK16" s="30">
        <f>'Report Inputs'!$F$2</f>
        <v>55.9</v>
      </c>
      <c r="AL16" s="28">
        <f>'Report Inputs'!$E$2</f>
        <v>1080</v>
      </c>
      <c r="AM16" s="28">
        <f t="shared" si="15"/>
        <v>21.995999999999999</v>
      </c>
      <c r="AN16" s="26" t="s">
        <v>744</v>
      </c>
      <c r="AS16" s="26" t="s">
        <v>76</v>
      </c>
      <c r="AT16" s="26" t="s">
        <v>77</v>
      </c>
      <c r="AU16" s="26" t="s">
        <v>78</v>
      </c>
      <c r="AV16" s="31">
        <f t="shared" ca="1" si="7"/>
        <v>42376.365370717591</v>
      </c>
    </row>
    <row r="17" spans="1:48">
      <c r="A17" s="26">
        <v>7</v>
      </c>
      <c r="B17" s="26">
        <f>MONTH('Report Inputs'!$B$2)</f>
        <v>11</v>
      </c>
      <c r="C17" s="26">
        <f>YEAR('Report Inputs'!$B$2)</f>
        <v>2015</v>
      </c>
      <c r="D17" s="26">
        <v>66571</v>
      </c>
      <c r="F17" s="26" t="s">
        <v>65</v>
      </c>
      <c r="G17" s="26" t="s">
        <v>66</v>
      </c>
      <c r="H17" s="26" t="s">
        <v>67</v>
      </c>
      <c r="I17" s="26" t="s">
        <v>68</v>
      </c>
      <c r="J17" s="26" t="s">
        <v>69</v>
      </c>
      <c r="K17" s="26">
        <v>713</v>
      </c>
      <c r="L17" s="26" t="s">
        <v>70</v>
      </c>
      <c r="M17" s="26">
        <v>713</v>
      </c>
      <c r="N17" s="26" t="s">
        <v>71</v>
      </c>
      <c r="O17" s="26" t="s">
        <v>72</v>
      </c>
      <c r="P17" s="26">
        <v>45</v>
      </c>
      <c r="Q17" s="27">
        <v>9844</v>
      </c>
      <c r="R17" s="26">
        <v>0</v>
      </c>
      <c r="S17" s="26" t="s">
        <v>209</v>
      </c>
      <c r="T17" s="26" t="s">
        <v>83</v>
      </c>
      <c r="U17" s="26" t="str">
        <f t="shared" si="8"/>
        <v>PR</v>
      </c>
      <c r="V17" s="26">
        <f t="shared" si="0"/>
        <v>30</v>
      </c>
      <c r="W17" s="26" t="s">
        <v>88</v>
      </c>
      <c r="X17" s="26">
        <v>15</v>
      </c>
      <c r="Y17" s="26" t="s">
        <v>74</v>
      </c>
      <c r="Z17" s="26" t="s">
        <v>75</v>
      </c>
      <c r="AA17" s="28">
        <f t="shared" si="10"/>
        <v>230.286</v>
      </c>
      <c r="AB17" s="28">
        <f t="shared" si="11"/>
        <v>0.89600000000000002</v>
      </c>
      <c r="AC17" s="28">
        <f t="shared" si="12"/>
        <v>0.55400000000000005</v>
      </c>
      <c r="AD17" s="28">
        <f t="shared" si="1"/>
        <v>1</v>
      </c>
      <c r="AE17" s="28">
        <f t="shared" si="13"/>
        <v>230.62799999999999</v>
      </c>
      <c r="AF17" s="28">
        <f t="shared" si="2"/>
        <v>3507.32</v>
      </c>
      <c r="AG17" s="28">
        <f t="shared" si="3"/>
        <v>7.0000000000000007E-2</v>
      </c>
      <c r="AH17" s="28">
        <f t="shared" si="4"/>
        <v>422.59199999999998</v>
      </c>
      <c r="AI17" s="28">
        <f t="shared" si="5"/>
        <v>-1</v>
      </c>
      <c r="AJ17" s="28">
        <f t="shared" si="14"/>
        <v>3084.6579999999999</v>
      </c>
      <c r="AK17" s="30">
        <f>'Report Inputs'!$F$2</f>
        <v>55.9</v>
      </c>
      <c r="AL17" s="28">
        <f>'Report Inputs'!$E$2</f>
        <v>1080</v>
      </c>
      <c r="AM17" s="28">
        <f t="shared" si="15"/>
        <v>32.582000000000001</v>
      </c>
      <c r="AN17" s="26" t="s">
        <v>744</v>
      </c>
      <c r="AS17" s="26" t="s">
        <v>76</v>
      </c>
      <c r="AT17" s="26" t="s">
        <v>77</v>
      </c>
      <c r="AU17" s="26" t="s">
        <v>78</v>
      </c>
      <c r="AV17" s="31">
        <f t="shared" ca="1" si="7"/>
        <v>42376.365370717591</v>
      </c>
    </row>
    <row r="18" spans="1:48">
      <c r="A18" s="26">
        <v>7</v>
      </c>
      <c r="B18" s="26">
        <f>MONTH('Report Inputs'!$B$2)</f>
        <v>11</v>
      </c>
      <c r="C18" s="26">
        <f>YEAR('Report Inputs'!$B$2)</f>
        <v>2015</v>
      </c>
      <c r="D18" s="26">
        <v>66571</v>
      </c>
      <c r="F18" s="26" t="s">
        <v>65</v>
      </c>
      <c r="G18" s="26" t="s">
        <v>66</v>
      </c>
      <c r="H18" s="26" t="s">
        <v>67</v>
      </c>
      <c r="I18" s="26" t="s">
        <v>68</v>
      </c>
      <c r="J18" s="26" t="s">
        <v>69</v>
      </c>
      <c r="K18" s="26">
        <v>713</v>
      </c>
      <c r="L18" s="26" t="s">
        <v>70</v>
      </c>
      <c r="M18" s="26">
        <v>713</v>
      </c>
      <c r="N18" s="26" t="s">
        <v>71</v>
      </c>
      <c r="O18" s="26" t="s">
        <v>72</v>
      </c>
      <c r="P18" s="26">
        <v>45</v>
      </c>
      <c r="Q18" s="27">
        <v>10185</v>
      </c>
      <c r="R18" s="26">
        <v>0</v>
      </c>
      <c r="S18" s="26" t="s">
        <v>82</v>
      </c>
      <c r="T18" s="26" t="s">
        <v>80</v>
      </c>
      <c r="U18" s="26" t="str">
        <f t="shared" si="8"/>
        <v>PR</v>
      </c>
      <c r="V18" s="26">
        <f t="shared" si="0"/>
        <v>30</v>
      </c>
      <c r="W18" s="26" t="s">
        <v>84</v>
      </c>
      <c r="X18" s="26">
        <v>4</v>
      </c>
      <c r="Y18" s="26" t="s">
        <v>74</v>
      </c>
      <c r="Z18" s="26" t="s">
        <v>75</v>
      </c>
      <c r="AA18" s="28">
        <f t="shared" si="10"/>
        <v>0.95</v>
      </c>
      <c r="AB18" s="28">
        <f t="shared" si="11"/>
        <v>7.08</v>
      </c>
      <c r="AC18" s="28">
        <f t="shared" si="12"/>
        <v>7.6849999999999996</v>
      </c>
      <c r="AD18" s="28">
        <f t="shared" si="1"/>
        <v>0</v>
      </c>
      <c r="AE18" s="28">
        <f t="shared" si="13"/>
        <v>0.34499999999999997</v>
      </c>
      <c r="AF18" s="28">
        <f t="shared" si="2"/>
        <v>2128.84</v>
      </c>
      <c r="AG18" s="28">
        <f t="shared" si="3"/>
        <v>1.37</v>
      </c>
      <c r="AH18" s="28">
        <f t="shared" si="4"/>
        <v>362.15699999999998</v>
      </c>
      <c r="AI18" s="28">
        <f t="shared" si="5"/>
        <v>1</v>
      </c>
      <c r="AJ18" s="28">
        <f t="shared" si="14"/>
        <v>1765.3130000000001</v>
      </c>
      <c r="AK18" s="30">
        <f>'Report Inputs'!$F$2</f>
        <v>55.9</v>
      </c>
      <c r="AL18" s="28">
        <f>'Report Inputs'!$E$2</f>
        <v>1080</v>
      </c>
      <c r="AM18" s="28">
        <f t="shared" si="15"/>
        <v>112.629</v>
      </c>
      <c r="AN18" s="26" t="s">
        <v>744</v>
      </c>
      <c r="AS18" s="26" t="s">
        <v>76</v>
      </c>
      <c r="AT18" s="26" t="s">
        <v>77</v>
      </c>
      <c r="AU18" s="26" t="s">
        <v>78</v>
      </c>
      <c r="AV18" s="31">
        <f t="shared" ca="1" si="7"/>
        <v>42376.365370717591</v>
      </c>
    </row>
    <row r="19" spans="1:48">
      <c r="A19" s="26">
        <v>7</v>
      </c>
      <c r="B19" s="26">
        <f>MONTH('Report Inputs'!$B$2)</f>
        <v>11</v>
      </c>
      <c r="C19" s="26">
        <f>YEAR('Report Inputs'!$B$2)</f>
        <v>2015</v>
      </c>
      <c r="D19" s="26">
        <v>66571</v>
      </c>
      <c r="F19" s="26" t="s">
        <v>65</v>
      </c>
      <c r="G19" s="26" t="s">
        <v>66</v>
      </c>
      <c r="H19" s="26" t="s">
        <v>67</v>
      </c>
      <c r="I19" s="26" t="s">
        <v>68</v>
      </c>
      <c r="J19" s="26" t="s">
        <v>69</v>
      </c>
      <c r="K19" s="26">
        <v>713</v>
      </c>
      <c r="L19" s="26" t="s">
        <v>70</v>
      </c>
      <c r="M19" s="26">
        <v>713</v>
      </c>
      <c r="N19" s="26" t="s">
        <v>71</v>
      </c>
      <c r="O19" s="26" t="s">
        <v>72</v>
      </c>
      <c r="P19" s="26">
        <v>45</v>
      </c>
      <c r="Q19" s="27">
        <v>10194</v>
      </c>
      <c r="R19" s="26">
        <v>0</v>
      </c>
      <c r="S19" s="26" t="s">
        <v>210</v>
      </c>
      <c r="T19" s="26" t="s">
        <v>83</v>
      </c>
      <c r="U19" s="26" t="str">
        <f t="shared" si="8"/>
        <v>PR</v>
      </c>
      <c r="V19" s="26">
        <f t="shared" si="0"/>
        <v>30</v>
      </c>
      <c r="W19" s="26" t="s">
        <v>124</v>
      </c>
      <c r="X19" s="26">
        <v>4</v>
      </c>
      <c r="Y19" s="26" t="s">
        <v>74</v>
      </c>
      <c r="Z19" s="26" t="s">
        <v>75</v>
      </c>
      <c r="AA19" s="28">
        <f t="shared" si="10"/>
        <v>88.807000000000002</v>
      </c>
      <c r="AB19" s="28">
        <f t="shared" si="11"/>
        <v>5.4080000000000004</v>
      </c>
      <c r="AC19" s="28">
        <f t="shared" si="12"/>
        <v>0.40899999999999997</v>
      </c>
      <c r="AD19" s="28">
        <f t="shared" si="1"/>
        <v>0</v>
      </c>
      <c r="AE19" s="28">
        <f t="shared" si="13"/>
        <v>93.805999999999997</v>
      </c>
      <c r="AF19" s="28">
        <f t="shared" si="2"/>
        <v>2655.67</v>
      </c>
      <c r="AG19" s="28">
        <f t="shared" si="3"/>
        <v>1.02</v>
      </c>
      <c r="AH19" s="28">
        <f t="shared" si="4"/>
        <v>385.59</v>
      </c>
      <c r="AI19" s="28">
        <f t="shared" si="5"/>
        <v>0</v>
      </c>
      <c r="AJ19" s="28">
        <f t="shared" si="14"/>
        <v>2269.06</v>
      </c>
      <c r="AL19" s="28">
        <f>'Report Inputs'!$E$2</f>
        <v>1080</v>
      </c>
      <c r="AM19" s="28">
        <f t="shared" si="15"/>
        <v>194.27</v>
      </c>
      <c r="AN19" s="26" t="s">
        <v>744</v>
      </c>
      <c r="AS19" s="26" t="s">
        <v>76</v>
      </c>
      <c r="AT19" s="26" t="s">
        <v>77</v>
      </c>
      <c r="AU19" s="26" t="s">
        <v>78</v>
      </c>
      <c r="AV19" s="31">
        <f t="shared" ca="1" si="7"/>
        <v>42376.365370717591</v>
      </c>
    </row>
    <row r="20" spans="1:48">
      <c r="A20" s="26">
        <v>7</v>
      </c>
      <c r="B20" s="26">
        <f>MONTH('Report Inputs'!$B$2)</f>
        <v>11</v>
      </c>
      <c r="C20" s="26">
        <f>YEAR('Report Inputs'!$B$2)</f>
        <v>2015</v>
      </c>
      <c r="D20" s="26">
        <v>66571</v>
      </c>
      <c r="F20" s="26" t="s">
        <v>65</v>
      </c>
      <c r="G20" s="26" t="s">
        <v>66</v>
      </c>
      <c r="H20" s="26" t="s">
        <v>67</v>
      </c>
      <c r="I20" s="26" t="s">
        <v>68</v>
      </c>
      <c r="J20" s="26" t="s">
        <v>69</v>
      </c>
      <c r="K20" s="26">
        <v>713</v>
      </c>
      <c r="L20" s="26" t="s">
        <v>70</v>
      </c>
      <c r="M20" s="26">
        <v>713</v>
      </c>
      <c r="N20" s="26" t="s">
        <v>71</v>
      </c>
      <c r="O20" s="26" t="s">
        <v>72</v>
      </c>
      <c r="P20" s="26">
        <v>45</v>
      </c>
      <c r="Q20" s="27">
        <v>10201</v>
      </c>
      <c r="R20" s="26">
        <v>0</v>
      </c>
      <c r="S20" s="26" t="s">
        <v>96</v>
      </c>
      <c r="T20" s="26" t="s">
        <v>83</v>
      </c>
      <c r="U20" s="26" t="str">
        <f t="shared" si="8"/>
        <v>PR</v>
      </c>
      <c r="V20" s="26">
        <f t="shared" si="0"/>
        <v>30</v>
      </c>
      <c r="W20" s="26" t="s">
        <v>73</v>
      </c>
      <c r="X20" s="26">
        <v>9</v>
      </c>
      <c r="Y20" s="26" t="s">
        <v>74</v>
      </c>
      <c r="Z20" s="26" t="s">
        <v>75</v>
      </c>
      <c r="AA20" s="28">
        <f t="shared" si="10"/>
        <v>0.52100000000000002</v>
      </c>
      <c r="AB20" s="28">
        <f t="shared" si="11"/>
        <v>11.108000000000001</v>
      </c>
      <c r="AC20" s="28">
        <f t="shared" si="12"/>
        <v>11.038</v>
      </c>
      <c r="AD20" s="28">
        <f t="shared" si="1"/>
        <v>0</v>
      </c>
      <c r="AE20" s="28">
        <f t="shared" si="13"/>
        <v>0.59099999999999997</v>
      </c>
      <c r="AF20" s="28">
        <f t="shared" si="2"/>
        <v>4165.1899999999996</v>
      </c>
      <c r="AG20" s="28">
        <f t="shared" si="3"/>
        <v>2.12</v>
      </c>
      <c r="AH20" s="28">
        <f t="shared" si="4"/>
        <v>450.49799999999999</v>
      </c>
      <c r="AI20" s="28">
        <f t="shared" si="5"/>
        <v>0</v>
      </c>
      <c r="AJ20" s="28">
        <f t="shared" si="14"/>
        <v>3712.5720000000001</v>
      </c>
      <c r="AK20" s="30">
        <f>'Report Inputs'!$F$2</f>
        <v>55.9</v>
      </c>
      <c r="AL20" s="28">
        <f>'Report Inputs'!$E$2</f>
        <v>1080</v>
      </c>
      <c r="AM20" s="28">
        <f t="shared" si="15"/>
        <v>73.361000000000004</v>
      </c>
      <c r="AN20" s="26" t="s">
        <v>744</v>
      </c>
      <c r="AS20" s="26" t="s">
        <v>76</v>
      </c>
      <c r="AT20" s="26" t="s">
        <v>77</v>
      </c>
      <c r="AU20" s="26" t="s">
        <v>78</v>
      </c>
      <c r="AV20" s="31">
        <f t="shared" ca="1" si="7"/>
        <v>42376.365370717591</v>
      </c>
    </row>
    <row r="21" spans="1:48">
      <c r="A21" s="26">
        <v>7</v>
      </c>
      <c r="B21" s="26">
        <f>MONTH('Report Inputs'!$B$2)</f>
        <v>11</v>
      </c>
      <c r="C21" s="26">
        <f>YEAR('Report Inputs'!$B$2)</f>
        <v>2015</v>
      </c>
      <c r="D21" s="26">
        <v>66571</v>
      </c>
      <c r="F21" s="26" t="s">
        <v>65</v>
      </c>
      <c r="G21" s="26" t="s">
        <v>66</v>
      </c>
      <c r="H21" s="26" t="s">
        <v>67</v>
      </c>
      <c r="I21" s="26" t="s">
        <v>68</v>
      </c>
      <c r="J21" s="26" t="s">
        <v>69</v>
      </c>
      <c r="K21" s="26">
        <v>713</v>
      </c>
      <c r="L21" s="26" t="s">
        <v>70</v>
      </c>
      <c r="M21" s="26">
        <v>713</v>
      </c>
      <c r="N21" s="26" t="s">
        <v>71</v>
      </c>
      <c r="O21" s="26" t="s">
        <v>72</v>
      </c>
      <c r="P21" s="26">
        <v>45</v>
      </c>
      <c r="Q21" s="27">
        <v>10258</v>
      </c>
      <c r="R21" s="26">
        <v>0</v>
      </c>
      <c r="S21" s="26" t="s">
        <v>211</v>
      </c>
      <c r="T21" s="26" t="s">
        <v>83</v>
      </c>
      <c r="U21" s="26" t="str">
        <f t="shared" si="8"/>
        <v>PR</v>
      </c>
      <c r="V21" s="26">
        <f t="shared" si="0"/>
        <v>30</v>
      </c>
      <c r="W21" s="26" t="s">
        <v>212</v>
      </c>
      <c r="X21" s="26">
        <v>8</v>
      </c>
      <c r="Y21" s="26" t="s">
        <v>194</v>
      </c>
      <c r="Z21" s="26" t="s">
        <v>75</v>
      </c>
      <c r="AA21" s="28">
        <f t="shared" si="10"/>
        <v>40.274000000000001</v>
      </c>
      <c r="AB21" s="28">
        <f t="shared" si="11"/>
        <v>0.182</v>
      </c>
      <c r="AC21" s="28">
        <f t="shared" si="12"/>
        <v>0.191</v>
      </c>
      <c r="AD21" s="28">
        <f t="shared" si="1"/>
        <v>0</v>
      </c>
      <c r="AE21" s="28">
        <f t="shared" si="13"/>
        <v>40.265000000000001</v>
      </c>
      <c r="AF21" s="28">
        <f t="shared" si="2"/>
        <v>1377.95</v>
      </c>
      <c r="AG21" s="28">
        <f t="shared" si="3"/>
        <v>0</v>
      </c>
      <c r="AH21" s="28">
        <f t="shared" si="4"/>
        <v>330.18400000000003</v>
      </c>
      <c r="AI21" s="28">
        <f t="shared" si="5"/>
        <v>0</v>
      </c>
      <c r="AJ21" s="28">
        <f t="shared" si="14"/>
        <v>1047.7660000000001</v>
      </c>
      <c r="AL21" s="28">
        <f>'Report Inputs'!$E$2</f>
        <v>1080</v>
      </c>
      <c r="AM21" s="28">
        <f t="shared" si="15"/>
        <v>0.309</v>
      </c>
      <c r="AN21" s="26" t="s">
        <v>744</v>
      </c>
      <c r="AS21" s="26" t="s">
        <v>76</v>
      </c>
      <c r="AT21" s="26" t="s">
        <v>77</v>
      </c>
      <c r="AU21" s="26" t="s">
        <v>78</v>
      </c>
      <c r="AV21" s="31">
        <f t="shared" ca="1" si="7"/>
        <v>42376.365370717591</v>
      </c>
    </row>
    <row r="22" spans="1:48">
      <c r="A22" s="26">
        <v>7</v>
      </c>
      <c r="B22" s="26">
        <f>MONTH('Report Inputs'!$B$2)</f>
        <v>11</v>
      </c>
      <c r="C22" s="26">
        <f>YEAR('Report Inputs'!$B$2)</f>
        <v>2015</v>
      </c>
      <c r="D22" s="26">
        <v>66571</v>
      </c>
      <c r="F22" s="26" t="s">
        <v>65</v>
      </c>
      <c r="G22" s="26" t="s">
        <v>66</v>
      </c>
      <c r="H22" s="26" t="s">
        <v>67</v>
      </c>
      <c r="I22" s="26" t="s">
        <v>68</v>
      </c>
      <c r="J22" s="26" t="s">
        <v>69</v>
      </c>
      <c r="K22" s="26">
        <v>713</v>
      </c>
      <c r="L22" s="26" t="s">
        <v>70</v>
      </c>
      <c r="M22" s="26">
        <v>713</v>
      </c>
      <c r="N22" s="26" t="s">
        <v>71</v>
      </c>
      <c r="O22" s="26" t="s">
        <v>72</v>
      </c>
      <c r="P22" s="26">
        <v>45</v>
      </c>
      <c r="Q22" s="27">
        <v>10336</v>
      </c>
      <c r="R22" s="26">
        <v>0</v>
      </c>
      <c r="S22" s="26" t="s">
        <v>118</v>
      </c>
      <c r="T22" s="26" t="s">
        <v>80</v>
      </c>
      <c r="U22" s="26" t="str">
        <f t="shared" si="8"/>
        <v>PR</v>
      </c>
      <c r="V22" s="26">
        <f t="shared" si="0"/>
        <v>24</v>
      </c>
      <c r="W22" s="26" t="s">
        <v>119</v>
      </c>
      <c r="X22" s="26">
        <v>32</v>
      </c>
      <c r="Y22" s="26" t="s">
        <v>74</v>
      </c>
      <c r="Z22" s="26" t="s">
        <v>75</v>
      </c>
      <c r="AA22" s="28">
        <f t="shared" si="10"/>
        <v>3.145</v>
      </c>
      <c r="AB22" s="28">
        <f t="shared" si="11"/>
        <v>16.111000000000001</v>
      </c>
      <c r="AC22" s="28">
        <f t="shared" si="12"/>
        <v>18.623999999999999</v>
      </c>
      <c r="AD22" s="28">
        <f t="shared" si="1"/>
        <v>1</v>
      </c>
      <c r="AE22" s="28">
        <f t="shared" si="13"/>
        <v>0.63200000000000001</v>
      </c>
      <c r="AF22" s="28">
        <f t="shared" si="2"/>
        <v>1491.88</v>
      </c>
      <c r="AG22" s="28">
        <f t="shared" si="3"/>
        <v>3.23</v>
      </c>
      <c r="AH22" s="28">
        <f t="shared" si="4"/>
        <v>334.988</v>
      </c>
      <c r="AI22" s="28">
        <f t="shared" si="5"/>
        <v>0</v>
      </c>
      <c r="AJ22" s="28">
        <f t="shared" si="14"/>
        <v>1153.662</v>
      </c>
      <c r="AK22" s="30">
        <f>'Report Inputs'!$F$2</f>
        <v>55.9</v>
      </c>
      <c r="AL22" s="28">
        <f>'Report Inputs'!$E$2</f>
        <v>1080</v>
      </c>
      <c r="AM22" s="28">
        <f t="shared" si="15"/>
        <v>573.04100000000005</v>
      </c>
      <c r="AN22" s="26" t="s">
        <v>744</v>
      </c>
      <c r="AS22" s="26" t="s">
        <v>76</v>
      </c>
      <c r="AT22" s="26" t="s">
        <v>77</v>
      </c>
      <c r="AU22" s="26" t="s">
        <v>78</v>
      </c>
      <c r="AV22" s="31">
        <f t="shared" ca="1" si="7"/>
        <v>42376.365370717591</v>
      </c>
    </row>
    <row r="23" spans="1:48">
      <c r="A23" s="26">
        <v>7</v>
      </c>
      <c r="B23" s="26">
        <f>MONTH('Report Inputs'!$B$2)</f>
        <v>11</v>
      </c>
      <c r="C23" s="26">
        <f>YEAR('Report Inputs'!$B$2)</f>
        <v>2015</v>
      </c>
      <c r="D23" s="26">
        <v>66571</v>
      </c>
      <c r="F23" s="26" t="s">
        <v>65</v>
      </c>
      <c r="G23" s="26" t="s">
        <v>66</v>
      </c>
      <c r="H23" s="26" t="s">
        <v>67</v>
      </c>
      <c r="I23" s="26" t="s">
        <v>68</v>
      </c>
      <c r="J23" s="26" t="s">
        <v>69</v>
      </c>
      <c r="K23" s="26">
        <v>713</v>
      </c>
      <c r="L23" s="26" t="s">
        <v>70</v>
      </c>
      <c r="M23" s="26">
        <v>713</v>
      </c>
      <c r="N23" s="26" t="s">
        <v>71</v>
      </c>
      <c r="O23" s="26" t="s">
        <v>72</v>
      </c>
      <c r="P23" s="26">
        <v>45</v>
      </c>
      <c r="Q23" s="27">
        <v>10345</v>
      </c>
      <c r="R23" s="26">
        <v>0</v>
      </c>
      <c r="S23" s="26" t="s">
        <v>193</v>
      </c>
      <c r="T23" s="26" t="s">
        <v>83</v>
      </c>
      <c r="U23" s="26" t="str">
        <f t="shared" si="8"/>
        <v>PR</v>
      </c>
      <c r="V23" s="26">
        <f t="shared" si="0"/>
        <v>30</v>
      </c>
      <c r="W23" s="26" t="s">
        <v>86</v>
      </c>
      <c r="X23" s="26">
        <v>5</v>
      </c>
      <c r="Y23" s="26" t="s">
        <v>194</v>
      </c>
      <c r="Z23" s="26" t="s">
        <v>75</v>
      </c>
      <c r="AA23" s="28">
        <f t="shared" si="10"/>
        <v>0.95</v>
      </c>
      <c r="AB23" s="28">
        <f t="shared" si="11"/>
        <v>3.6019999999999999</v>
      </c>
      <c r="AC23" s="28">
        <f t="shared" si="12"/>
        <v>4.3319999999999999</v>
      </c>
      <c r="AD23" s="28">
        <f t="shared" si="1"/>
        <v>-1</v>
      </c>
      <c r="AE23" s="28">
        <f t="shared" si="13"/>
        <v>0.22</v>
      </c>
      <c r="AF23" s="28">
        <f t="shared" si="2"/>
        <v>1964.94</v>
      </c>
      <c r="AG23" s="28">
        <f t="shared" si="3"/>
        <v>0.67</v>
      </c>
      <c r="AH23" s="28">
        <f t="shared" si="4"/>
        <v>247.45699999999999</v>
      </c>
      <c r="AI23" s="28">
        <f t="shared" si="5"/>
        <v>0</v>
      </c>
      <c r="AJ23" s="28">
        <f t="shared" si="14"/>
        <v>1716.8130000000001</v>
      </c>
      <c r="AK23" s="30">
        <f>'Report Inputs'!$F$2</f>
        <v>55.9</v>
      </c>
      <c r="AL23" s="28">
        <f>'Report Inputs'!$E$2</f>
        <v>1080</v>
      </c>
      <c r="AM23" s="28">
        <f t="shared" si="15"/>
        <v>88.382999999999996</v>
      </c>
      <c r="AN23" s="26" t="s">
        <v>744</v>
      </c>
      <c r="AS23" s="26" t="s">
        <v>76</v>
      </c>
      <c r="AT23" s="26" t="s">
        <v>77</v>
      </c>
      <c r="AU23" s="26" t="s">
        <v>78</v>
      </c>
      <c r="AV23" s="31">
        <f t="shared" ca="1" si="7"/>
        <v>42376.365370717591</v>
      </c>
    </row>
    <row r="24" spans="1:48">
      <c r="A24" s="26">
        <v>7</v>
      </c>
      <c r="B24" s="26">
        <f>MONTH('Report Inputs'!$B$2)</f>
        <v>11</v>
      </c>
      <c r="C24" s="26">
        <f>YEAR('Report Inputs'!$B$2)</f>
        <v>2015</v>
      </c>
      <c r="D24" s="26">
        <v>66571</v>
      </c>
      <c r="F24" s="26" t="s">
        <v>65</v>
      </c>
      <c r="G24" s="26" t="s">
        <v>66</v>
      </c>
      <c r="H24" s="26" t="s">
        <v>67</v>
      </c>
      <c r="I24" s="26" t="s">
        <v>68</v>
      </c>
      <c r="J24" s="26" t="s">
        <v>69</v>
      </c>
      <c r="K24" s="26">
        <v>713</v>
      </c>
      <c r="L24" s="26" t="s">
        <v>70</v>
      </c>
      <c r="M24" s="26">
        <v>713</v>
      </c>
      <c r="N24" s="26" t="s">
        <v>71</v>
      </c>
      <c r="O24" s="26" t="s">
        <v>72</v>
      </c>
      <c r="P24" s="26">
        <v>45</v>
      </c>
      <c r="Q24" s="27">
        <v>10444</v>
      </c>
      <c r="R24" s="26">
        <v>0</v>
      </c>
      <c r="S24" s="26" t="s">
        <v>102</v>
      </c>
      <c r="T24" s="26" t="s">
        <v>80</v>
      </c>
      <c r="U24" s="26" t="str">
        <f t="shared" si="8"/>
        <v>PR</v>
      </c>
      <c r="V24" s="26">
        <f t="shared" si="0"/>
        <v>30</v>
      </c>
      <c r="W24" s="26" t="s">
        <v>103</v>
      </c>
      <c r="X24" s="26">
        <v>16</v>
      </c>
      <c r="Y24" s="26" t="s">
        <v>74</v>
      </c>
      <c r="Z24" s="26" t="s">
        <v>75</v>
      </c>
      <c r="AA24" s="28">
        <f t="shared" si="10"/>
        <v>3.3650000000000002</v>
      </c>
      <c r="AB24" s="28">
        <f t="shared" si="11"/>
        <v>0.85799999999999998</v>
      </c>
      <c r="AC24" s="28">
        <f t="shared" si="12"/>
        <v>3.9420000000000002</v>
      </c>
      <c r="AD24" s="28">
        <f t="shared" si="1"/>
        <v>0</v>
      </c>
      <c r="AE24" s="28">
        <f t="shared" si="13"/>
        <v>0.28100000000000003</v>
      </c>
      <c r="AF24" s="28">
        <f t="shared" si="2"/>
        <v>5434.87</v>
      </c>
      <c r="AG24" s="28">
        <f t="shared" si="3"/>
        <v>0</v>
      </c>
      <c r="AH24" s="28">
        <f t="shared" si="4"/>
        <v>505.69200000000001</v>
      </c>
      <c r="AI24" s="28">
        <f t="shared" si="5"/>
        <v>0</v>
      </c>
      <c r="AJ24" s="28">
        <f t="shared" si="14"/>
        <v>4929.1779999999999</v>
      </c>
      <c r="AK24" s="30">
        <f>'Report Inputs'!$F$2</f>
        <v>55.9</v>
      </c>
      <c r="AL24" s="28">
        <f>'Report Inputs'!$E$2</f>
        <v>1080</v>
      </c>
      <c r="AM24" s="28">
        <f t="shared" si="15"/>
        <v>1.4590000000000001</v>
      </c>
      <c r="AN24" s="26" t="s">
        <v>744</v>
      </c>
      <c r="AS24" s="26" t="s">
        <v>76</v>
      </c>
      <c r="AT24" s="26" t="s">
        <v>77</v>
      </c>
      <c r="AU24" s="26" t="s">
        <v>78</v>
      </c>
      <c r="AV24" s="31">
        <f t="shared" ca="1" si="7"/>
        <v>42376.365370717591</v>
      </c>
    </row>
    <row r="25" spans="1:48">
      <c r="A25" s="26">
        <v>7</v>
      </c>
      <c r="B25" s="26">
        <f>MONTH('Report Inputs'!$B$2)</f>
        <v>11</v>
      </c>
      <c r="C25" s="26">
        <f>YEAR('Report Inputs'!$B$2)</f>
        <v>2015</v>
      </c>
      <c r="D25" s="26">
        <v>66571</v>
      </c>
      <c r="F25" s="26" t="s">
        <v>65</v>
      </c>
      <c r="G25" s="26" t="s">
        <v>66</v>
      </c>
      <c r="H25" s="26" t="s">
        <v>67</v>
      </c>
      <c r="I25" s="26" t="s">
        <v>68</v>
      </c>
      <c r="J25" s="26" t="s">
        <v>69</v>
      </c>
      <c r="K25" s="26">
        <v>713</v>
      </c>
      <c r="L25" s="26" t="s">
        <v>70</v>
      </c>
      <c r="M25" s="26">
        <v>713</v>
      </c>
      <c r="N25" s="26" t="s">
        <v>71</v>
      </c>
      <c r="O25" s="26" t="s">
        <v>72</v>
      </c>
      <c r="P25" s="26">
        <v>45</v>
      </c>
      <c r="Q25" s="27">
        <v>10477</v>
      </c>
      <c r="R25" s="26">
        <v>0</v>
      </c>
      <c r="S25" s="26" t="s">
        <v>153</v>
      </c>
      <c r="T25" s="26" t="s">
        <v>80</v>
      </c>
      <c r="U25" s="26" t="str">
        <f t="shared" si="8"/>
        <v>PR</v>
      </c>
      <c r="V25" s="26">
        <f t="shared" si="0"/>
        <v>30</v>
      </c>
      <c r="W25" s="26" t="s">
        <v>86</v>
      </c>
      <c r="X25" s="26">
        <v>20</v>
      </c>
      <c r="Y25" s="26" t="s">
        <v>74</v>
      </c>
      <c r="Z25" s="26" t="s">
        <v>75</v>
      </c>
      <c r="AA25" s="28">
        <f t="shared" si="10"/>
        <v>1.1419999999999999</v>
      </c>
      <c r="AB25" s="28">
        <f t="shared" si="11"/>
        <v>3.4860000000000002</v>
      </c>
      <c r="AC25" s="28">
        <f t="shared" si="12"/>
        <v>4.3390000000000004</v>
      </c>
      <c r="AD25" s="28">
        <f t="shared" si="1"/>
        <v>0</v>
      </c>
      <c r="AE25" s="28">
        <f t="shared" si="13"/>
        <v>0.28899999999999998</v>
      </c>
      <c r="AF25" s="28">
        <f t="shared" si="2"/>
        <v>3454.17</v>
      </c>
      <c r="AG25" s="28">
        <f t="shared" si="3"/>
        <v>0.6</v>
      </c>
      <c r="AH25" s="28">
        <f t="shared" si="4"/>
        <v>352.745</v>
      </c>
      <c r="AI25" s="28">
        <f t="shared" si="5"/>
        <v>-1</v>
      </c>
      <c r="AJ25" s="28">
        <f t="shared" si="14"/>
        <v>3100.8249999999998</v>
      </c>
      <c r="AK25" s="30">
        <f>'Report Inputs'!$F$2</f>
        <v>55.9</v>
      </c>
      <c r="AL25" s="28">
        <f>'Report Inputs'!$E$2</f>
        <v>1080</v>
      </c>
      <c r="AM25" s="28">
        <f t="shared" si="15"/>
        <v>41.256999999999998</v>
      </c>
      <c r="AN25" s="26" t="s">
        <v>744</v>
      </c>
      <c r="AS25" s="26" t="s">
        <v>76</v>
      </c>
      <c r="AT25" s="26" t="s">
        <v>77</v>
      </c>
      <c r="AU25" s="26" t="s">
        <v>78</v>
      </c>
      <c r="AV25" s="31">
        <f t="shared" ca="1" si="7"/>
        <v>42376.365370717591</v>
      </c>
    </row>
    <row r="26" spans="1:48">
      <c r="A26" s="26">
        <v>7</v>
      </c>
      <c r="B26" s="26">
        <f>MONTH('Report Inputs'!$B$2)</f>
        <v>11</v>
      </c>
      <c r="C26" s="26">
        <f>YEAR('Report Inputs'!$B$2)</f>
        <v>2015</v>
      </c>
      <c r="D26" s="26">
        <v>66571</v>
      </c>
      <c r="F26" s="26" t="s">
        <v>65</v>
      </c>
      <c r="G26" s="26" t="s">
        <v>66</v>
      </c>
      <c r="H26" s="26" t="s">
        <v>67</v>
      </c>
      <c r="I26" s="26" t="s">
        <v>68</v>
      </c>
      <c r="J26" s="26" t="s">
        <v>69</v>
      </c>
      <c r="K26" s="26">
        <v>713</v>
      </c>
      <c r="L26" s="26" t="s">
        <v>70</v>
      </c>
      <c r="M26" s="26">
        <v>713</v>
      </c>
      <c r="N26" s="26" t="s">
        <v>71</v>
      </c>
      <c r="O26" s="26" t="s">
        <v>72</v>
      </c>
      <c r="P26" s="26">
        <v>45</v>
      </c>
      <c r="Q26" s="27">
        <v>10509</v>
      </c>
      <c r="R26" s="26">
        <v>0</v>
      </c>
      <c r="S26" s="26" t="s">
        <v>203</v>
      </c>
      <c r="T26" s="26" t="s">
        <v>83</v>
      </c>
      <c r="U26" s="26" t="str">
        <f t="shared" si="8"/>
        <v>SI</v>
      </c>
      <c r="V26" s="26">
        <f t="shared" si="0"/>
        <v>0</v>
      </c>
      <c r="W26" s="26" t="s">
        <v>92</v>
      </c>
      <c r="X26" s="26">
        <v>5</v>
      </c>
      <c r="Y26" s="26" t="s">
        <v>194</v>
      </c>
      <c r="Z26" s="26" t="s">
        <v>75</v>
      </c>
      <c r="AA26" s="28">
        <f t="shared" si="10"/>
        <v>1.7999999999999999E-2</v>
      </c>
      <c r="AB26" s="28">
        <f t="shared" si="11"/>
        <v>0</v>
      </c>
      <c r="AC26" s="28">
        <f t="shared" si="12"/>
        <v>1.7000000000000001E-2</v>
      </c>
      <c r="AD26" s="28">
        <f t="shared" si="1"/>
        <v>0</v>
      </c>
      <c r="AE26" s="28">
        <f t="shared" si="13"/>
        <v>1E-3</v>
      </c>
      <c r="AF26" s="28">
        <f t="shared" si="2"/>
        <v>0</v>
      </c>
      <c r="AG26" s="28">
        <f t="shared" si="3"/>
        <v>0</v>
      </c>
      <c r="AH26" s="28">
        <f t="shared" si="4"/>
        <v>0</v>
      </c>
      <c r="AI26" s="28">
        <f t="shared" si="5"/>
        <v>0</v>
      </c>
      <c r="AJ26" s="28">
        <f t="shared" si="14"/>
        <v>0</v>
      </c>
      <c r="AM26" s="28">
        <f t="shared" si="15"/>
        <v>0</v>
      </c>
      <c r="AN26" s="26" t="s">
        <v>744</v>
      </c>
      <c r="AS26" s="26" t="s">
        <v>76</v>
      </c>
      <c r="AT26" s="26" t="s">
        <v>77</v>
      </c>
      <c r="AU26" s="26" t="s">
        <v>78</v>
      </c>
      <c r="AV26" s="31">
        <f t="shared" ca="1" si="7"/>
        <v>42376.365370717591</v>
      </c>
    </row>
    <row r="27" spans="1:48">
      <c r="A27" s="26">
        <v>7</v>
      </c>
      <c r="B27" s="26">
        <f>MONTH('Report Inputs'!$B$2)</f>
        <v>11</v>
      </c>
      <c r="C27" s="26">
        <f>YEAR('Report Inputs'!$B$2)</f>
        <v>2015</v>
      </c>
      <c r="D27" s="26">
        <v>66571</v>
      </c>
      <c r="F27" s="26" t="s">
        <v>65</v>
      </c>
      <c r="G27" s="26" t="s">
        <v>66</v>
      </c>
      <c r="H27" s="26" t="s">
        <v>67</v>
      </c>
      <c r="I27" s="26" t="s">
        <v>68</v>
      </c>
      <c r="J27" s="26" t="s">
        <v>69</v>
      </c>
      <c r="K27" s="26">
        <v>713</v>
      </c>
      <c r="L27" s="26" t="s">
        <v>70</v>
      </c>
      <c r="M27" s="26">
        <v>713</v>
      </c>
      <c r="N27" s="26" t="s">
        <v>71</v>
      </c>
      <c r="O27" s="26" t="s">
        <v>72</v>
      </c>
      <c r="P27" s="26">
        <v>45</v>
      </c>
      <c r="Q27" s="27">
        <v>10512</v>
      </c>
      <c r="R27" s="26">
        <v>0</v>
      </c>
      <c r="S27" s="26" t="s">
        <v>205</v>
      </c>
      <c r="T27" s="26" t="s">
        <v>80</v>
      </c>
      <c r="U27" s="26" t="str">
        <f t="shared" si="8"/>
        <v>PR</v>
      </c>
      <c r="V27" s="26">
        <f t="shared" si="0"/>
        <v>30</v>
      </c>
      <c r="W27" s="26" t="s">
        <v>101</v>
      </c>
      <c r="X27" s="26">
        <v>5</v>
      </c>
      <c r="Y27" s="26" t="s">
        <v>194</v>
      </c>
      <c r="Z27" s="26" t="s">
        <v>75</v>
      </c>
      <c r="AA27" s="28">
        <f t="shared" si="10"/>
        <v>0.67400000000000004</v>
      </c>
      <c r="AB27" s="28">
        <f t="shared" si="11"/>
        <v>18.331</v>
      </c>
      <c r="AC27" s="28">
        <f t="shared" si="12"/>
        <v>18.306000000000001</v>
      </c>
      <c r="AD27" s="28">
        <f t="shared" si="1"/>
        <v>0</v>
      </c>
      <c r="AE27" s="28">
        <f t="shared" si="13"/>
        <v>0.69899999999999995</v>
      </c>
      <c r="AF27" s="28">
        <f t="shared" si="2"/>
        <v>1191.8599999999999</v>
      </c>
      <c r="AG27" s="28">
        <f t="shared" si="3"/>
        <v>3.69</v>
      </c>
      <c r="AH27" s="28">
        <f t="shared" si="4"/>
        <v>254.43100000000001</v>
      </c>
      <c r="AI27" s="28">
        <f t="shared" si="5"/>
        <v>0</v>
      </c>
      <c r="AJ27" s="28">
        <f t="shared" si="14"/>
        <v>933.73900000000003</v>
      </c>
      <c r="AK27" s="30">
        <f>'Report Inputs'!$F$2</f>
        <v>55.9</v>
      </c>
      <c r="AL27" s="28">
        <f>'Report Inputs'!$E$2</f>
        <v>1080</v>
      </c>
      <c r="AM27" s="28">
        <f t="shared" si="15"/>
        <v>32.264000000000003</v>
      </c>
      <c r="AN27" s="26" t="s">
        <v>744</v>
      </c>
      <c r="AS27" s="26" t="s">
        <v>76</v>
      </c>
      <c r="AT27" s="26" t="s">
        <v>77</v>
      </c>
      <c r="AU27" s="26" t="s">
        <v>78</v>
      </c>
      <c r="AV27" s="31">
        <f t="shared" ca="1" si="7"/>
        <v>42376.365370717591</v>
      </c>
    </row>
    <row r="28" spans="1:48">
      <c r="A28" s="26">
        <v>7</v>
      </c>
      <c r="B28" s="26">
        <f>MONTH('Report Inputs'!$B$2)</f>
        <v>11</v>
      </c>
      <c r="C28" s="26">
        <f>YEAR('Report Inputs'!$B$2)</f>
        <v>2015</v>
      </c>
      <c r="D28" s="26">
        <v>66571</v>
      </c>
      <c r="F28" s="26" t="s">
        <v>65</v>
      </c>
      <c r="G28" s="26" t="s">
        <v>66</v>
      </c>
      <c r="H28" s="26" t="s">
        <v>67</v>
      </c>
      <c r="I28" s="26" t="s">
        <v>68</v>
      </c>
      <c r="J28" s="26" t="s">
        <v>69</v>
      </c>
      <c r="K28" s="26">
        <v>713</v>
      </c>
      <c r="L28" s="26" t="s">
        <v>70</v>
      </c>
      <c r="M28" s="26">
        <v>713</v>
      </c>
      <c r="N28" s="26" t="s">
        <v>71</v>
      </c>
      <c r="O28" s="26" t="s">
        <v>72</v>
      </c>
      <c r="P28" s="26">
        <v>45</v>
      </c>
      <c r="Q28" s="27">
        <v>10547</v>
      </c>
      <c r="R28" s="26">
        <v>0</v>
      </c>
      <c r="S28" s="26" t="s">
        <v>87</v>
      </c>
      <c r="T28" s="26" t="s">
        <v>80</v>
      </c>
      <c r="U28" s="26" t="str">
        <f t="shared" si="8"/>
        <v>PR</v>
      </c>
      <c r="V28" s="26">
        <f t="shared" si="0"/>
        <v>30</v>
      </c>
      <c r="W28" s="26" t="s">
        <v>88</v>
      </c>
      <c r="X28" s="26">
        <v>5</v>
      </c>
      <c r="Y28" s="26" t="s">
        <v>74</v>
      </c>
      <c r="Z28" s="26" t="s">
        <v>75</v>
      </c>
      <c r="AA28" s="28">
        <f t="shared" si="10"/>
        <v>1</v>
      </c>
      <c r="AB28" s="28">
        <f t="shared" si="11"/>
        <v>2.6509999999999998</v>
      </c>
      <c r="AC28" s="28">
        <f t="shared" si="12"/>
        <v>3.371</v>
      </c>
      <c r="AD28" s="28">
        <f t="shared" si="1"/>
        <v>-1</v>
      </c>
      <c r="AE28" s="28">
        <f t="shared" si="13"/>
        <v>0.28000000000000003</v>
      </c>
      <c r="AF28" s="28">
        <f t="shared" si="2"/>
        <v>3923.37</v>
      </c>
      <c r="AG28" s="28">
        <f t="shared" si="3"/>
        <v>0.42</v>
      </c>
      <c r="AH28" s="28">
        <f t="shared" si="4"/>
        <v>440.63200000000001</v>
      </c>
      <c r="AI28" s="28">
        <f t="shared" si="5"/>
        <v>0</v>
      </c>
      <c r="AJ28" s="28">
        <f t="shared" si="14"/>
        <v>3482.3180000000002</v>
      </c>
      <c r="AK28" s="30">
        <f>'Report Inputs'!$F$2</f>
        <v>55.9</v>
      </c>
      <c r="AL28" s="28">
        <f>'Report Inputs'!$E$2</f>
        <v>1080</v>
      </c>
      <c r="AM28" s="28">
        <f t="shared" si="15"/>
        <v>98.099000000000004</v>
      </c>
      <c r="AN28" s="26" t="s">
        <v>744</v>
      </c>
      <c r="AS28" s="26" t="s">
        <v>76</v>
      </c>
      <c r="AT28" s="26" t="s">
        <v>77</v>
      </c>
      <c r="AU28" s="26" t="s">
        <v>78</v>
      </c>
      <c r="AV28" s="31">
        <f t="shared" ca="1" si="7"/>
        <v>42376.365370717591</v>
      </c>
    </row>
    <row r="29" spans="1:48">
      <c r="A29" s="26">
        <v>7</v>
      </c>
      <c r="B29" s="26">
        <f>MONTH('Report Inputs'!$B$2)</f>
        <v>11</v>
      </c>
      <c r="C29" s="26">
        <f>YEAR('Report Inputs'!$B$2)</f>
        <v>2015</v>
      </c>
      <c r="D29" s="26">
        <v>66571</v>
      </c>
      <c r="F29" s="26" t="s">
        <v>65</v>
      </c>
      <c r="G29" s="26" t="s">
        <v>66</v>
      </c>
      <c r="H29" s="26" t="s">
        <v>67</v>
      </c>
      <c r="I29" s="26" t="s">
        <v>68</v>
      </c>
      <c r="J29" s="26" t="s">
        <v>69</v>
      </c>
      <c r="K29" s="26">
        <v>713</v>
      </c>
      <c r="L29" s="26" t="s">
        <v>70</v>
      </c>
      <c r="M29" s="26">
        <v>713</v>
      </c>
      <c r="N29" s="26" t="s">
        <v>71</v>
      </c>
      <c r="O29" s="26" t="s">
        <v>72</v>
      </c>
      <c r="P29" s="26">
        <v>45</v>
      </c>
      <c r="Q29" s="27">
        <v>10563</v>
      </c>
      <c r="R29" s="26">
        <v>0</v>
      </c>
      <c r="S29" s="26" t="s">
        <v>182</v>
      </c>
      <c r="T29" s="26" t="s">
        <v>80</v>
      </c>
      <c r="U29" s="26" t="str">
        <f t="shared" si="8"/>
        <v>PR</v>
      </c>
      <c r="V29" s="26">
        <f t="shared" si="0"/>
        <v>30</v>
      </c>
      <c r="W29" s="26" t="s">
        <v>86</v>
      </c>
      <c r="X29" s="26">
        <v>29</v>
      </c>
      <c r="Y29" s="26" t="s">
        <v>74</v>
      </c>
      <c r="Z29" s="26" t="s">
        <v>75</v>
      </c>
      <c r="AA29" s="28">
        <f t="shared" si="10"/>
        <v>1.0609999999999999</v>
      </c>
      <c r="AB29" s="28">
        <f t="shared" si="11"/>
        <v>32.204000000000001</v>
      </c>
      <c r="AC29" s="28">
        <f t="shared" si="12"/>
        <v>32.031999999999996</v>
      </c>
      <c r="AD29" s="28">
        <f t="shared" si="1"/>
        <v>0</v>
      </c>
      <c r="AE29" s="28">
        <f t="shared" si="13"/>
        <v>1.2330000000000001</v>
      </c>
      <c r="AF29" s="28">
        <f t="shared" si="2"/>
        <v>2065.64</v>
      </c>
      <c r="AG29" s="28">
        <f t="shared" si="3"/>
        <v>6.47</v>
      </c>
      <c r="AH29" s="28">
        <f t="shared" si="4"/>
        <v>292.23099999999999</v>
      </c>
      <c r="AI29" s="28">
        <f t="shared" si="5"/>
        <v>1</v>
      </c>
      <c r="AJ29" s="28">
        <f t="shared" ref="AJ29:AJ69" si="16">IF(ISNA(VLOOKUP($Q29,data,8,FALSE)),0,VLOOKUP($Q29,data,8,FALSE))</f>
        <v>1766.9390000000001</v>
      </c>
      <c r="AK29" s="30">
        <f>'Report Inputs'!$F$2</f>
        <v>55.9</v>
      </c>
      <c r="AL29" s="28">
        <f>'Report Inputs'!$E$2</f>
        <v>1080</v>
      </c>
      <c r="AM29" s="28">
        <f t="shared" si="15"/>
        <v>80.391999999999996</v>
      </c>
      <c r="AN29" s="26" t="s">
        <v>744</v>
      </c>
      <c r="AS29" s="26" t="s">
        <v>76</v>
      </c>
      <c r="AT29" s="26" t="s">
        <v>77</v>
      </c>
      <c r="AU29" s="26" t="s">
        <v>78</v>
      </c>
      <c r="AV29" s="31">
        <f t="shared" ca="1" si="7"/>
        <v>42376.365370717591</v>
      </c>
    </row>
    <row r="30" spans="1:48">
      <c r="A30" s="26">
        <v>7</v>
      </c>
      <c r="B30" s="26">
        <f>MONTH('Report Inputs'!$B$2)</f>
        <v>11</v>
      </c>
      <c r="C30" s="26">
        <f>YEAR('Report Inputs'!$B$2)</f>
        <v>2015</v>
      </c>
      <c r="D30" s="26">
        <v>66571</v>
      </c>
      <c r="F30" s="26" t="s">
        <v>65</v>
      </c>
      <c r="G30" s="26" t="s">
        <v>66</v>
      </c>
      <c r="H30" s="26" t="s">
        <v>67</v>
      </c>
      <c r="I30" s="26" t="s">
        <v>68</v>
      </c>
      <c r="J30" s="26" t="s">
        <v>69</v>
      </c>
      <c r="K30" s="26">
        <v>713</v>
      </c>
      <c r="L30" s="26" t="s">
        <v>70</v>
      </c>
      <c r="M30" s="26">
        <v>713</v>
      </c>
      <c r="N30" s="26" t="s">
        <v>71</v>
      </c>
      <c r="O30" s="26" t="s">
        <v>72</v>
      </c>
      <c r="P30" s="26">
        <v>45</v>
      </c>
      <c r="Q30" s="27">
        <v>10564</v>
      </c>
      <c r="R30" s="26">
        <v>0</v>
      </c>
      <c r="S30" s="26" t="s">
        <v>179</v>
      </c>
      <c r="T30" s="26" t="s">
        <v>83</v>
      </c>
      <c r="U30" s="26" t="str">
        <f t="shared" si="8"/>
        <v>PR</v>
      </c>
      <c r="V30" s="26">
        <f t="shared" si="0"/>
        <v>29</v>
      </c>
      <c r="W30" s="26" t="s">
        <v>86</v>
      </c>
      <c r="X30" s="26">
        <v>29</v>
      </c>
      <c r="Y30" s="26" t="s">
        <v>74</v>
      </c>
      <c r="Z30" s="26" t="s">
        <v>75</v>
      </c>
      <c r="AA30" s="28">
        <f t="shared" si="10"/>
        <v>0.56599999999999995</v>
      </c>
      <c r="AB30" s="28">
        <f t="shared" si="11"/>
        <v>15.215</v>
      </c>
      <c r="AC30" s="28">
        <f t="shared" si="12"/>
        <v>15.198</v>
      </c>
      <c r="AD30" s="28">
        <f t="shared" si="1"/>
        <v>0</v>
      </c>
      <c r="AE30" s="28">
        <f t="shared" si="13"/>
        <v>0.58299999999999996</v>
      </c>
      <c r="AF30" s="28">
        <f t="shared" si="2"/>
        <v>1087.83</v>
      </c>
      <c r="AG30" s="28">
        <f t="shared" si="3"/>
        <v>3.06</v>
      </c>
      <c r="AH30" s="28">
        <f t="shared" si="4"/>
        <v>249.94399999999999</v>
      </c>
      <c r="AI30" s="28">
        <f t="shared" si="5"/>
        <v>0</v>
      </c>
      <c r="AJ30" s="28">
        <f t="shared" si="16"/>
        <v>834.82600000000002</v>
      </c>
      <c r="AK30" s="30">
        <f>'Report Inputs'!$F$2</f>
        <v>55.9</v>
      </c>
      <c r="AL30" s="28">
        <f>'Report Inputs'!$E$2</f>
        <v>1080</v>
      </c>
      <c r="AM30" s="28">
        <f t="shared" si="15"/>
        <v>37.982999999999997</v>
      </c>
      <c r="AN30" s="26" t="s">
        <v>744</v>
      </c>
      <c r="AS30" s="26" t="s">
        <v>76</v>
      </c>
      <c r="AT30" s="26" t="s">
        <v>77</v>
      </c>
      <c r="AU30" s="26" t="s">
        <v>78</v>
      </c>
      <c r="AV30" s="31">
        <f t="shared" ca="1" si="7"/>
        <v>42376.365370717591</v>
      </c>
    </row>
    <row r="31" spans="1:48">
      <c r="A31" s="26">
        <v>7</v>
      </c>
      <c r="B31" s="26">
        <f>MONTH('Report Inputs'!$B$2)</f>
        <v>11</v>
      </c>
      <c r="C31" s="26">
        <f>YEAR('Report Inputs'!$B$2)</f>
        <v>2015</v>
      </c>
      <c r="D31" s="26">
        <v>66571</v>
      </c>
      <c r="F31" s="26" t="s">
        <v>65</v>
      </c>
      <c r="G31" s="26" t="s">
        <v>66</v>
      </c>
      <c r="H31" s="26" t="s">
        <v>67</v>
      </c>
      <c r="I31" s="26" t="s">
        <v>68</v>
      </c>
      <c r="J31" s="26" t="s">
        <v>69</v>
      </c>
      <c r="K31" s="26">
        <v>713</v>
      </c>
      <c r="L31" s="26" t="s">
        <v>70</v>
      </c>
      <c r="M31" s="26">
        <v>713</v>
      </c>
      <c r="N31" s="26" t="s">
        <v>71</v>
      </c>
      <c r="O31" s="26" t="s">
        <v>72</v>
      </c>
      <c r="P31" s="26">
        <v>45</v>
      </c>
      <c r="Q31" s="27">
        <v>10565</v>
      </c>
      <c r="R31" s="26">
        <v>0</v>
      </c>
      <c r="S31" s="26" t="s">
        <v>177</v>
      </c>
      <c r="T31" s="26" t="s">
        <v>83</v>
      </c>
      <c r="U31" s="26" t="str">
        <f t="shared" si="8"/>
        <v>PR</v>
      </c>
      <c r="V31" s="26">
        <f t="shared" si="0"/>
        <v>2</v>
      </c>
      <c r="W31" s="26" t="s">
        <v>86</v>
      </c>
      <c r="X31" s="26">
        <v>29</v>
      </c>
      <c r="Y31" s="26" t="s">
        <v>74</v>
      </c>
      <c r="Z31" s="26" t="s">
        <v>75</v>
      </c>
      <c r="AA31" s="28">
        <f t="shared" si="10"/>
        <v>0.40899999999999997</v>
      </c>
      <c r="AB31" s="28">
        <f t="shared" si="11"/>
        <v>15.58</v>
      </c>
      <c r="AC31" s="28">
        <f t="shared" si="12"/>
        <v>15.396000000000001</v>
      </c>
      <c r="AD31" s="28">
        <f t="shared" ref="AD31:AD62" si="17">ROUND(AC31,0)+ROUND(AE31,0)-ROUND(AA31,0)-ROUND(AB31,0)</f>
        <v>0</v>
      </c>
      <c r="AE31" s="28">
        <f t="shared" si="13"/>
        <v>0.59299999999999997</v>
      </c>
      <c r="AF31" s="28">
        <f t="shared" si="2"/>
        <v>1108.8</v>
      </c>
      <c r="AG31" s="28">
        <f t="shared" si="3"/>
        <v>3.13</v>
      </c>
      <c r="AH31" s="28">
        <f t="shared" si="4"/>
        <v>250.851</v>
      </c>
      <c r="AI31" s="28">
        <f t="shared" ref="AI31" si="18">ROUND(AF31,0)-ROUND(AG31,0)-ROUND(AH31,0)-ROUND(AJ31,0)</f>
        <v>0</v>
      </c>
      <c r="AJ31" s="28">
        <f t="shared" si="16"/>
        <v>854.81899999999996</v>
      </c>
      <c r="AK31" s="30">
        <f>'Report Inputs'!$F$2</f>
        <v>55.9</v>
      </c>
      <c r="AL31" s="28">
        <f>'Report Inputs'!$E$2</f>
        <v>1080</v>
      </c>
      <c r="AM31" s="28">
        <f t="shared" si="15"/>
        <v>38.893000000000001</v>
      </c>
      <c r="AN31" s="26" t="s">
        <v>744</v>
      </c>
      <c r="AS31" s="26" t="s">
        <v>76</v>
      </c>
      <c r="AT31" s="26" t="s">
        <v>77</v>
      </c>
      <c r="AU31" s="26" t="s">
        <v>78</v>
      </c>
      <c r="AV31" s="31">
        <f t="shared" ca="1" si="7"/>
        <v>42376.365370717591</v>
      </c>
    </row>
    <row r="32" spans="1:48">
      <c r="A32" s="26">
        <v>7</v>
      </c>
      <c r="B32" s="26">
        <f>MONTH('Report Inputs'!$B$2)</f>
        <v>11</v>
      </c>
      <c r="C32" s="26">
        <f>YEAR('Report Inputs'!$B$2)</f>
        <v>2015</v>
      </c>
      <c r="D32" s="26">
        <v>66571</v>
      </c>
      <c r="F32" s="26" t="s">
        <v>65</v>
      </c>
      <c r="G32" s="26" t="s">
        <v>66</v>
      </c>
      <c r="H32" s="26" t="s">
        <v>67</v>
      </c>
      <c r="I32" s="26" t="s">
        <v>68</v>
      </c>
      <c r="J32" s="26" t="s">
        <v>69</v>
      </c>
      <c r="K32" s="26">
        <v>713</v>
      </c>
      <c r="L32" s="26" t="s">
        <v>70</v>
      </c>
      <c r="M32" s="26">
        <v>713</v>
      </c>
      <c r="N32" s="26" t="s">
        <v>71</v>
      </c>
      <c r="O32" s="26" t="s">
        <v>72</v>
      </c>
      <c r="P32" s="26">
        <v>45</v>
      </c>
      <c r="Q32" s="27">
        <v>10566</v>
      </c>
      <c r="R32" s="26">
        <v>0</v>
      </c>
      <c r="S32" s="26" t="s">
        <v>172</v>
      </c>
      <c r="T32" s="26" t="s">
        <v>80</v>
      </c>
      <c r="U32" s="26" t="str">
        <f t="shared" si="8"/>
        <v>PR</v>
      </c>
      <c r="V32" s="26">
        <v>4</v>
      </c>
      <c r="W32" s="26" t="s">
        <v>86</v>
      </c>
      <c r="X32" s="26">
        <v>29</v>
      </c>
      <c r="Y32" s="26" t="s">
        <v>74</v>
      </c>
      <c r="Z32" s="26" t="s">
        <v>75</v>
      </c>
      <c r="AA32" s="28">
        <f t="shared" si="10"/>
        <v>0.60199999999999998</v>
      </c>
      <c r="AB32" s="28">
        <f t="shared" si="11"/>
        <v>12.760999999999999</v>
      </c>
      <c r="AC32" s="28">
        <f t="shared" si="12"/>
        <v>12.874000000000001</v>
      </c>
      <c r="AD32" s="28">
        <f t="shared" si="17"/>
        <v>-1</v>
      </c>
      <c r="AE32" s="28">
        <f t="shared" si="13"/>
        <v>0.48899999999999999</v>
      </c>
      <c r="AF32" s="28">
        <f t="shared" ref="AF32:AF63" si="19">IF(ISNA(VLOOKUP($Q32,data,9,FALSE)),0,VLOOKUP($Q32,data,9,FALSE))</f>
        <v>948.27</v>
      </c>
      <c r="AG32" s="28">
        <f t="shared" si="3"/>
        <v>2.57</v>
      </c>
      <c r="AH32" s="28">
        <f t="shared" si="4"/>
        <v>245.56299999999999</v>
      </c>
      <c r="AI32" s="28">
        <f t="shared" si="5"/>
        <v>-1</v>
      </c>
      <c r="AJ32" s="28">
        <f t="shared" si="16"/>
        <v>700.13699999999994</v>
      </c>
      <c r="AK32" s="30">
        <f>'Report Inputs'!$F$2</f>
        <v>55.9</v>
      </c>
      <c r="AL32" s="28">
        <f>'Report Inputs'!$E$2</f>
        <v>1080</v>
      </c>
      <c r="AM32" s="28">
        <f t="shared" si="15"/>
        <v>31.855</v>
      </c>
      <c r="AN32" s="26" t="s">
        <v>744</v>
      </c>
      <c r="AS32" s="26" t="s">
        <v>76</v>
      </c>
      <c r="AT32" s="26" t="s">
        <v>77</v>
      </c>
      <c r="AU32" s="26" t="s">
        <v>78</v>
      </c>
      <c r="AV32" s="31">
        <f t="shared" ca="1" si="7"/>
        <v>42376.365370717591</v>
      </c>
    </row>
    <row r="33" spans="1:48">
      <c r="A33" s="26">
        <v>7</v>
      </c>
      <c r="B33" s="26">
        <f>MONTH('Report Inputs'!$B$2)</f>
        <v>11</v>
      </c>
      <c r="C33" s="26">
        <f>YEAR('Report Inputs'!$B$2)</f>
        <v>2015</v>
      </c>
      <c r="D33" s="26">
        <v>66571</v>
      </c>
      <c r="F33" s="26" t="s">
        <v>65</v>
      </c>
      <c r="G33" s="26" t="s">
        <v>66</v>
      </c>
      <c r="H33" s="26" t="s">
        <v>67</v>
      </c>
      <c r="I33" s="26" t="s">
        <v>68</v>
      </c>
      <c r="J33" s="26" t="s">
        <v>69</v>
      </c>
      <c r="K33" s="26">
        <v>713</v>
      </c>
      <c r="L33" s="26" t="s">
        <v>70</v>
      </c>
      <c r="M33" s="26">
        <v>713</v>
      </c>
      <c r="N33" s="26" t="s">
        <v>71</v>
      </c>
      <c r="O33" s="26" t="s">
        <v>72</v>
      </c>
      <c r="P33" s="26">
        <v>45</v>
      </c>
      <c r="Q33" s="27">
        <v>10567</v>
      </c>
      <c r="R33" s="26">
        <v>0</v>
      </c>
      <c r="S33" s="26" t="s">
        <v>170</v>
      </c>
      <c r="T33" s="26" t="s">
        <v>83</v>
      </c>
      <c r="U33" s="26" t="str">
        <f t="shared" si="8"/>
        <v>PR</v>
      </c>
      <c r="V33" s="26">
        <f t="shared" si="0"/>
        <v>30</v>
      </c>
      <c r="W33" s="26" t="s">
        <v>107</v>
      </c>
      <c r="X33" s="26">
        <v>20</v>
      </c>
      <c r="Y33" s="26" t="s">
        <v>74</v>
      </c>
      <c r="Z33" s="26" t="s">
        <v>75</v>
      </c>
      <c r="AA33" s="28">
        <f t="shared" si="10"/>
        <v>0.16300000000000001</v>
      </c>
      <c r="AB33" s="28">
        <f t="shared" si="11"/>
        <v>2.2360000000000002</v>
      </c>
      <c r="AC33" s="28">
        <f t="shared" si="12"/>
        <v>2.2349999999999999</v>
      </c>
      <c r="AD33" s="28">
        <f t="shared" si="17"/>
        <v>0</v>
      </c>
      <c r="AE33" s="28">
        <f t="shared" si="13"/>
        <v>0.16400000000000001</v>
      </c>
      <c r="AF33" s="28">
        <f t="shared" si="19"/>
        <v>1741.97</v>
      </c>
      <c r="AG33" s="28">
        <f t="shared" si="3"/>
        <v>0.4</v>
      </c>
      <c r="AH33" s="28">
        <f t="shared" si="4"/>
        <v>156.48099999999999</v>
      </c>
      <c r="AI33" s="28">
        <f t="shared" si="5"/>
        <v>1</v>
      </c>
      <c r="AJ33" s="28">
        <f t="shared" si="16"/>
        <v>1585.0889999999999</v>
      </c>
      <c r="AK33" s="30">
        <f>'Report Inputs'!$F$2</f>
        <v>55.9</v>
      </c>
      <c r="AL33" s="28">
        <f>'Report Inputs'!$E$2</f>
        <v>1080</v>
      </c>
      <c r="AM33" s="28">
        <f t="shared" si="15"/>
        <v>98.619</v>
      </c>
      <c r="AN33" s="26" t="s">
        <v>744</v>
      </c>
      <c r="AS33" s="26" t="s">
        <v>76</v>
      </c>
      <c r="AT33" s="26" t="s">
        <v>77</v>
      </c>
      <c r="AU33" s="26" t="s">
        <v>78</v>
      </c>
      <c r="AV33" s="31">
        <f t="shared" ca="1" si="7"/>
        <v>42376.365370717591</v>
      </c>
    </row>
    <row r="34" spans="1:48">
      <c r="A34" s="26">
        <v>7</v>
      </c>
      <c r="B34" s="26">
        <f>MONTH('Report Inputs'!$B$2)</f>
        <v>11</v>
      </c>
      <c r="C34" s="26">
        <f>YEAR('Report Inputs'!$B$2)</f>
        <v>2015</v>
      </c>
      <c r="D34" s="26">
        <v>66571</v>
      </c>
      <c r="F34" s="26" t="s">
        <v>65</v>
      </c>
      <c r="G34" s="26" t="s">
        <v>66</v>
      </c>
      <c r="H34" s="26" t="s">
        <v>67</v>
      </c>
      <c r="I34" s="26" t="s">
        <v>68</v>
      </c>
      <c r="J34" s="26" t="s">
        <v>69</v>
      </c>
      <c r="K34" s="26">
        <v>713</v>
      </c>
      <c r="L34" s="26" t="s">
        <v>70</v>
      </c>
      <c r="M34" s="26">
        <v>713</v>
      </c>
      <c r="N34" s="26" t="s">
        <v>71</v>
      </c>
      <c r="O34" s="26" t="s">
        <v>72</v>
      </c>
      <c r="P34" s="26">
        <v>45</v>
      </c>
      <c r="Q34" s="27">
        <v>10652</v>
      </c>
      <c r="R34" s="26">
        <v>0</v>
      </c>
      <c r="S34" s="26" t="s">
        <v>132</v>
      </c>
      <c r="T34" s="26" t="s">
        <v>80</v>
      </c>
      <c r="U34" s="26" t="str">
        <f t="shared" si="8"/>
        <v>PR</v>
      </c>
      <c r="V34" s="26">
        <f t="shared" si="0"/>
        <v>30</v>
      </c>
      <c r="W34" s="26" t="s">
        <v>101</v>
      </c>
      <c r="X34" s="26">
        <v>17</v>
      </c>
      <c r="Y34" s="26" t="s">
        <v>74</v>
      </c>
      <c r="Z34" s="26" t="s">
        <v>75</v>
      </c>
      <c r="AA34" s="28">
        <f t="shared" si="10"/>
        <v>0.42899999999999999</v>
      </c>
      <c r="AB34" s="28">
        <f t="shared" si="11"/>
        <v>6.3940000000000001</v>
      </c>
      <c r="AC34" s="28">
        <f t="shared" si="12"/>
        <v>6.4160000000000004</v>
      </c>
      <c r="AD34" s="28">
        <f t="shared" si="17"/>
        <v>0</v>
      </c>
      <c r="AE34" s="28">
        <f t="shared" si="13"/>
        <v>0.40699999999999997</v>
      </c>
      <c r="AF34" s="28">
        <f t="shared" si="19"/>
        <v>3713.75</v>
      </c>
      <c r="AG34" s="28">
        <f t="shared" si="3"/>
        <v>1.18</v>
      </c>
      <c r="AH34" s="28">
        <f t="shared" si="4"/>
        <v>363.98500000000001</v>
      </c>
      <c r="AI34" s="28">
        <f t="shared" si="5"/>
        <v>0</v>
      </c>
      <c r="AJ34" s="28">
        <f t="shared" si="16"/>
        <v>3348.585</v>
      </c>
      <c r="AK34" s="30">
        <f>'Report Inputs'!$F$2</f>
        <v>55.9</v>
      </c>
      <c r="AL34" s="28">
        <f>'Report Inputs'!$E$2</f>
        <v>1080</v>
      </c>
      <c r="AM34" s="28">
        <f t="shared" si="15"/>
        <v>69.209999999999994</v>
      </c>
      <c r="AN34" s="26" t="s">
        <v>744</v>
      </c>
      <c r="AS34" s="26" t="s">
        <v>76</v>
      </c>
      <c r="AT34" s="26" t="s">
        <v>77</v>
      </c>
      <c r="AU34" s="26" t="s">
        <v>78</v>
      </c>
      <c r="AV34" s="31">
        <f t="shared" ca="1" si="7"/>
        <v>42376.365370717591</v>
      </c>
    </row>
    <row r="35" spans="1:48">
      <c r="A35" s="26">
        <v>7</v>
      </c>
      <c r="B35" s="26">
        <f>MONTH('Report Inputs'!$B$2)</f>
        <v>11</v>
      </c>
      <c r="C35" s="26">
        <f>YEAR('Report Inputs'!$B$2)</f>
        <v>2015</v>
      </c>
      <c r="D35" s="26">
        <v>66571</v>
      </c>
      <c r="F35" s="26" t="s">
        <v>65</v>
      </c>
      <c r="G35" s="26" t="s">
        <v>66</v>
      </c>
      <c r="H35" s="26" t="s">
        <v>67</v>
      </c>
      <c r="I35" s="26" t="s">
        <v>68</v>
      </c>
      <c r="J35" s="26" t="s">
        <v>69</v>
      </c>
      <c r="K35" s="26">
        <v>713</v>
      </c>
      <c r="L35" s="26" t="s">
        <v>70</v>
      </c>
      <c r="M35" s="26">
        <v>713</v>
      </c>
      <c r="N35" s="26" t="s">
        <v>71</v>
      </c>
      <c r="O35" s="26" t="s">
        <v>72</v>
      </c>
      <c r="P35" s="26">
        <v>45</v>
      </c>
      <c r="Q35" s="27">
        <v>10653</v>
      </c>
      <c r="R35" s="26">
        <v>0</v>
      </c>
      <c r="S35" s="26" t="s">
        <v>95</v>
      </c>
      <c r="T35" s="26" t="s">
        <v>80</v>
      </c>
      <c r="U35" s="26" t="str">
        <f t="shared" si="8"/>
        <v>PR</v>
      </c>
      <c r="V35" s="26">
        <f t="shared" si="0"/>
        <v>30</v>
      </c>
      <c r="W35" s="26" t="s">
        <v>84</v>
      </c>
      <c r="X35" s="26">
        <v>8</v>
      </c>
      <c r="Y35" s="26" t="s">
        <v>74</v>
      </c>
      <c r="Z35" s="26" t="s">
        <v>75</v>
      </c>
      <c r="AA35" s="28">
        <f t="shared" si="10"/>
        <v>0.189</v>
      </c>
      <c r="AB35" s="28">
        <f t="shared" si="11"/>
        <v>0.17399999999999999</v>
      </c>
      <c r="AC35" s="28">
        <f t="shared" si="12"/>
        <v>0.30299999999999999</v>
      </c>
      <c r="AD35" s="28">
        <f t="shared" si="17"/>
        <v>0</v>
      </c>
      <c r="AE35" s="28">
        <f t="shared" si="13"/>
        <v>0.06</v>
      </c>
      <c r="AF35" s="28">
        <f t="shared" si="19"/>
        <v>1255.6500000000001</v>
      </c>
      <c r="AG35" s="28">
        <f t="shared" si="3"/>
        <v>0</v>
      </c>
      <c r="AH35" s="28">
        <f t="shared" si="4"/>
        <v>257.91399999999999</v>
      </c>
      <c r="AI35" s="28">
        <f t="shared" si="5"/>
        <v>0</v>
      </c>
      <c r="AJ35" s="28">
        <f t="shared" si="16"/>
        <v>997.73599999999999</v>
      </c>
      <c r="AL35" s="28">
        <f>'Report Inputs'!$E$2</f>
        <v>1080</v>
      </c>
      <c r="AM35" s="28">
        <f t="shared" si="15"/>
        <v>44.225000000000001</v>
      </c>
      <c r="AN35" s="26" t="s">
        <v>744</v>
      </c>
      <c r="AS35" s="26" t="s">
        <v>76</v>
      </c>
      <c r="AT35" s="26" t="s">
        <v>77</v>
      </c>
      <c r="AU35" s="26" t="s">
        <v>78</v>
      </c>
      <c r="AV35" s="31">
        <f t="shared" ca="1" si="7"/>
        <v>42376.365370717591</v>
      </c>
    </row>
    <row r="36" spans="1:48">
      <c r="A36" s="26">
        <v>7</v>
      </c>
      <c r="B36" s="26">
        <f>MONTH('Report Inputs'!$B$2)</f>
        <v>11</v>
      </c>
      <c r="C36" s="26">
        <f>YEAR('Report Inputs'!$B$2)</f>
        <v>2015</v>
      </c>
      <c r="D36" s="26">
        <v>66571</v>
      </c>
      <c r="F36" s="26" t="s">
        <v>65</v>
      </c>
      <c r="G36" s="26" t="s">
        <v>66</v>
      </c>
      <c r="H36" s="26" t="s">
        <v>67</v>
      </c>
      <c r="I36" s="26" t="s">
        <v>68</v>
      </c>
      <c r="J36" s="26" t="s">
        <v>69</v>
      </c>
      <c r="K36" s="26">
        <v>713</v>
      </c>
      <c r="L36" s="26" t="s">
        <v>70</v>
      </c>
      <c r="M36" s="26">
        <v>713</v>
      </c>
      <c r="N36" s="26" t="s">
        <v>71</v>
      </c>
      <c r="O36" s="26" t="s">
        <v>72</v>
      </c>
      <c r="P36" s="26">
        <v>45</v>
      </c>
      <c r="Q36" s="27">
        <v>10663</v>
      </c>
      <c r="R36" s="26">
        <v>0</v>
      </c>
      <c r="S36" s="26" t="s">
        <v>139</v>
      </c>
      <c r="T36" s="26" t="s">
        <v>83</v>
      </c>
      <c r="U36" s="26" t="str">
        <f t="shared" si="8"/>
        <v>PR</v>
      </c>
      <c r="V36" s="26">
        <f t="shared" si="0"/>
        <v>30</v>
      </c>
      <c r="W36" s="26" t="s">
        <v>101</v>
      </c>
      <c r="X36" s="26">
        <v>17</v>
      </c>
      <c r="Y36" s="26" t="s">
        <v>74</v>
      </c>
      <c r="Z36" s="26" t="s">
        <v>75</v>
      </c>
      <c r="AA36" s="28">
        <f t="shared" si="10"/>
        <v>0.45300000000000001</v>
      </c>
      <c r="AB36" s="28">
        <f t="shared" si="11"/>
        <v>7.0090000000000003</v>
      </c>
      <c r="AC36" s="28">
        <f t="shared" si="12"/>
        <v>7.0179999999999998</v>
      </c>
      <c r="AD36" s="28">
        <f t="shared" si="17"/>
        <v>0</v>
      </c>
      <c r="AE36" s="28">
        <f t="shared" si="13"/>
        <v>0.44400000000000001</v>
      </c>
      <c r="AF36" s="28">
        <f t="shared" si="19"/>
        <v>4050.16</v>
      </c>
      <c r="AG36" s="28">
        <f t="shared" si="3"/>
        <v>1.29</v>
      </c>
      <c r="AH36" s="28">
        <f t="shared" si="4"/>
        <v>378.58</v>
      </c>
      <c r="AI36" s="28">
        <f t="shared" si="5"/>
        <v>0</v>
      </c>
      <c r="AJ36" s="28">
        <f t="shared" si="16"/>
        <v>3670.29</v>
      </c>
      <c r="AK36" s="30">
        <f>'Report Inputs'!$F$2</f>
        <v>55.9</v>
      </c>
      <c r="AL36" s="28">
        <f>'Report Inputs'!$E$2</f>
        <v>1080</v>
      </c>
      <c r="AM36" s="28">
        <f t="shared" si="15"/>
        <v>75.858999999999995</v>
      </c>
      <c r="AN36" s="26" t="s">
        <v>744</v>
      </c>
      <c r="AS36" s="26" t="s">
        <v>76</v>
      </c>
      <c r="AT36" s="26" t="s">
        <v>77</v>
      </c>
      <c r="AU36" s="26" t="s">
        <v>78</v>
      </c>
      <c r="AV36" s="31">
        <f t="shared" ca="1" si="7"/>
        <v>42376.365370717591</v>
      </c>
    </row>
    <row r="37" spans="1:48">
      <c r="A37" s="26">
        <v>7</v>
      </c>
      <c r="B37" s="26">
        <f>MONTH('Report Inputs'!$B$2)</f>
        <v>11</v>
      </c>
      <c r="C37" s="26">
        <f>YEAR('Report Inputs'!$B$2)</f>
        <v>2015</v>
      </c>
      <c r="D37" s="26">
        <v>66571</v>
      </c>
      <c r="F37" s="26" t="s">
        <v>65</v>
      </c>
      <c r="G37" s="26" t="s">
        <v>66</v>
      </c>
      <c r="H37" s="26" t="s">
        <v>67</v>
      </c>
      <c r="I37" s="26" t="s">
        <v>68</v>
      </c>
      <c r="J37" s="26" t="s">
        <v>69</v>
      </c>
      <c r="K37" s="26">
        <v>713</v>
      </c>
      <c r="L37" s="26" t="s">
        <v>70</v>
      </c>
      <c r="M37" s="26">
        <v>713</v>
      </c>
      <c r="N37" s="26" t="s">
        <v>71</v>
      </c>
      <c r="O37" s="26" t="s">
        <v>72</v>
      </c>
      <c r="P37" s="26">
        <v>45</v>
      </c>
      <c r="Q37" s="27">
        <v>10673</v>
      </c>
      <c r="R37" s="26">
        <v>0</v>
      </c>
      <c r="S37" s="26" t="s">
        <v>133</v>
      </c>
      <c r="T37" s="26" t="s">
        <v>83</v>
      </c>
      <c r="U37" s="26" t="str">
        <f t="shared" si="8"/>
        <v>PR</v>
      </c>
      <c r="V37" s="26">
        <f t="shared" si="0"/>
        <v>30</v>
      </c>
      <c r="W37" s="26" t="s">
        <v>101</v>
      </c>
      <c r="X37" s="26">
        <v>17</v>
      </c>
      <c r="Y37" s="26" t="s">
        <v>74</v>
      </c>
      <c r="Z37" s="26" t="s">
        <v>75</v>
      </c>
      <c r="AA37" s="28">
        <f t="shared" si="10"/>
        <v>0.18099999999999999</v>
      </c>
      <c r="AB37" s="28">
        <f t="shared" si="11"/>
        <v>3.141</v>
      </c>
      <c r="AC37" s="28">
        <f t="shared" si="12"/>
        <v>3.125</v>
      </c>
      <c r="AD37" s="28">
        <f t="shared" si="17"/>
        <v>0</v>
      </c>
      <c r="AE37" s="28">
        <f t="shared" si="13"/>
        <v>0.19700000000000001</v>
      </c>
      <c r="AF37" s="28">
        <f t="shared" si="19"/>
        <v>1931.95</v>
      </c>
      <c r="AG37" s="28">
        <f t="shared" si="3"/>
        <v>0.57999999999999996</v>
      </c>
      <c r="AH37" s="28">
        <f t="shared" si="4"/>
        <v>286.68400000000003</v>
      </c>
      <c r="AI37" s="28">
        <f t="shared" si="5"/>
        <v>-1</v>
      </c>
      <c r="AJ37" s="28">
        <f t="shared" si="16"/>
        <v>1644.6859999999999</v>
      </c>
      <c r="AK37" s="30">
        <f>'Report Inputs'!$F$2</f>
        <v>55.9</v>
      </c>
      <c r="AL37" s="28">
        <f>'Report Inputs'!$E$2</f>
        <v>1080</v>
      </c>
      <c r="AM37" s="28">
        <f t="shared" si="15"/>
        <v>33.991999999999997</v>
      </c>
      <c r="AN37" s="26" t="s">
        <v>744</v>
      </c>
      <c r="AS37" s="26" t="s">
        <v>76</v>
      </c>
      <c r="AT37" s="26" t="s">
        <v>77</v>
      </c>
      <c r="AU37" s="26" t="s">
        <v>78</v>
      </c>
      <c r="AV37" s="31">
        <f t="shared" ca="1" si="7"/>
        <v>42376.365370717591</v>
      </c>
    </row>
    <row r="38" spans="1:48">
      <c r="A38" s="26">
        <v>7</v>
      </c>
      <c r="B38" s="26">
        <f>MONTH('Report Inputs'!$B$2)</f>
        <v>11</v>
      </c>
      <c r="C38" s="26">
        <f>YEAR('Report Inputs'!$B$2)</f>
        <v>2015</v>
      </c>
      <c r="D38" s="26">
        <v>66571</v>
      </c>
      <c r="F38" s="26" t="s">
        <v>65</v>
      </c>
      <c r="G38" s="26" t="s">
        <v>66</v>
      </c>
      <c r="H38" s="26" t="s">
        <v>67</v>
      </c>
      <c r="I38" s="26" t="s">
        <v>68</v>
      </c>
      <c r="J38" s="26" t="s">
        <v>69</v>
      </c>
      <c r="K38" s="26">
        <v>713</v>
      </c>
      <c r="L38" s="26" t="s">
        <v>70</v>
      </c>
      <c r="M38" s="26">
        <v>713</v>
      </c>
      <c r="N38" s="26" t="s">
        <v>71</v>
      </c>
      <c r="O38" s="26" t="s">
        <v>72</v>
      </c>
      <c r="P38" s="26">
        <v>45</v>
      </c>
      <c r="Q38" s="27">
        <v>10674</v>
      </c>
      <c r="R38" s="26">
        <v>0</v>
      </c>
      <c r="S38" s="26" t="s">
        <v>134</v>
      </c>
      <c r="T38" s="26" t="s">
        <v>80</v>
      </c>
      <c r="U38" s="26" t="str">
        <f t="shared" si="8"/>
        <v>PR</v>
      </c>
      <c r="V38" s="26">
        <f t="shared" si="0"/>
        <v>30</v>
      </c>
      <c r="W38" s="26" t="s">
        <v>101</v>
      </c>
      <c r="X38" s="26">
        <v>17</v>
      </c>
      <c r="Y38" s="26" t="s">
        <v>74</v>
      </c>
      <c r="Z38" s="26" t="s">
        <v>75</v>
      </c>
      <c r="AA38" s="28">
        <f t="shared" ref="AA38:AA69" si="20">IF(ISNA(VLOOKUP($Q38,data,5,FALSE)),0,VLOOKUP($Q38,data,5,FALSE))</f>
        <v>0.59</v>
      </c>
      <c r="AB38" s="28">
        <f t="shared" ref="AB38:AB69" si="21">IF(ISNA(VLOOKUP($Q38,data,7,FALSE)),0,VLOOKUP($Q38,data,7,FALSE))</f>
        <v>9.0259999999999998</v>
      </c>
      <c r="AC38" s="28">
        <f t="shared" ref="AC38:AC69" si="22">IF(ISNA(VLOOKUP($Q38,data,6,FALSE)),0,VLOOKUP($Q38,data,6,FALSE))</f>
        <v>9.0429999999999993</v>
      </c>
      <c r="AD38" s="28">
        <f t="shared" si="17"/>
        <v>0</v>
      </c>
      <c r="AE38" s="28">
        <f t="shared" ref="AE38:AE69" si="23">IF(ISNA(VLOOKUP($Q38,data,13,FALSE)),0,VLOOKUP($Q38,data,13,FALSE))</f>
        <v>0.57299999999999995</v>
      </c>
      <c r="AF38" s="28">
        <f t="shared" si="19"/>
        <v>5154.74</v>
      </c>
      <c r="AG38" s="28">
        <f t="shared" si="3"/>
        <v>1.67</v>
      </c>
      <c r="AH38" s="28">
        <f t="shared" si="4"/>
        <v>426.5</v>
      </c>
      <c r="AI38" s="28">
        <f t="shared" si="5"/>
        <v>-1</v>
      </c>
      <c r="AJ38" s="28">
        <f t="shared" si="16"/>
        <v>4726.57</v>
      </c>
      <c r="AK38" s="30">
        <f>'Report Inputs'!$F$2</f>
        <v>55.9</v>
      </c>
      <c r="AL38" s="28">
        <f>'Report Inputs'!$E$2</f>
        <v>1080</v>
      </c>
      <c r="AM38" s="28">
        <f t="shared" ref="AM38:AM69" si="24">IF(ISNA(VLOOKUP($Q38,data,14,FALSE)),0,VLOOKUP($Q38,data,14,FALSE))</f>
        <v>97.69</v>
      </c>
      <c r="AN38" s="26" t="s">
        <v>744</v>
      </c>
      <c r="AS38" s="26" t="s">
        <v>76</v>
      </c>
      <c r="AT38" s="26" t="s">
        <v>77</v>
      </c>
      <c r="AU38" s="26" t="s">
        <v>78</v>
      </c>
      <c r="AV38" s="31">
        <f t="shared" ca="1" si="7"/>
        <v>42376.365370717591</v>
      </c>
    </row>
    <row r="39" spans="1:48">
      <c r="A39" s="26">
        <v>7</v>
      </c>
      <c r="B39" s="26">
        <f>MONTH('Report Inputs'!$B$2)</f>
        <v>11</v>
      </c>
      <c r="C39" s="26">
        <f>YEAR('Report Inputs'!$B$2)</f>
        <v>2015</v>
      </c>
      <c r="D39" s="26">
        <v>66571</v>
      </c>
      <c r="F39" s="26" t="s">
        <v>65</v>
      </c>
      <c r="G39" s="26" t="s">
        <v>66</v>
      </c>
      <c r="H39" s="26" t="s">
        <v>67</v>
      </c>
      <c r="I39" s="26" t="s">
        <v>68</v>
      </c>
      <c r="J39" s="26" t="s">
        <v>69</v>
      </c>
      <c r="K39" s="26">
        <v>713</v>
      </c>
      <c r="L39" s="26" t="s">
        <v>70</v>
      </c>
      <c r="M39" s="26">
        <v>713</v>
      </c>
      <c r="N39" s="26" t="s">
        <v>71</v>
      </c>
      <c r="O39" s="26" t="s">
        <v>72</v>
      </c>
      <c r="P39" s="26">
        <v>45</v>
      </c>
      <c r="Q39" s="27">
        <v>10675</v>
      </c>
      <c r="R39" s="26">
        <v>0</v>
      </c>
      <c r="S39" s="26" t="s">
        <v>122</v>
      </c>
      <c r="T39" s="26" t="s">
        <v>80</v>
      </c>
      <c r="U39" s="26" t="str">
        <f t="shared" si="8"/>
        <v>SI</v>
      </c>
      <c r="V39" s="26">
        <f t="shared" si="0"/>
        <v>0</v>
      </c>
      <c r="W39" s="26" t="s">
        <v>107</v>
      </c>
      <c r="X39" s="26">
        <v>8</v>
      </c>
      <c r="Y39" s="26" t="s">
        <v>74</v>
      </c>
      <c r="Z39" s="26" t="s">
        <v>75</v>
      </c>
      <c r="AA39" s="28">
        <f t="shared" si="20"/>
        <v>0</v>
      </c>
      <c r="AB39" s="28">
        <f t="shared" si="21"/>
        <v>0</v>
      </c>
      <c r="AC39" s="28">
        <f t="shared" si="22"/>
        <v>0</v>
      </c>
      <c r="AD39" s="28">
        <f t="shared" si="17"/>
        <v>0</v>
      </c>
      <c r="AE39" s="28">
        <f t="shared" si="23"/>
        <v>0</v>
      </c>
      <c r="AF39" s="28">
        <f t="shared" si="19"/>
        <v>0</v>
      </c>
      <c r="AG39" s="28">
        <f t="shared" si="3"/>
        <v>0</v>
      </c>
      <c r="AH39" s="28">
        <f t="shared" si="4"/>
        <v>0</v>
      </c>
      <c r="AI39" s="28">
        <f t="shared" si="5"/>
        <v>0</v>
      </c>
      <c r="AJ39" s="28">
        <f t="shared" si="16"/>
        <v>0</v>
      </c>
      <c r="AM39" s="28">
        <f t="shared" si="24"/>
        <v>0</v>
      </c>
      <c r="AN39" s="26" t="s">
        <v>744</v>
      </c>
      <c r="AS39" s="26" t="s">
        <v>76</v>
      </c>
      <c r="AT39" s="26" t="s">
        <v>77</v>
      </c>
      <c r="AU39" s="26" t="s">
        <v>78</v>
      </c>
      <c r="AV39" s="31">
        <f t="shared" ca="1" si="7"/>
        <v>42376.365370717591</v>
      </c>
    </row>
    <row r="40" spans="1:48">
      <c r="A40" s="26">
        <v>7</v>
      </c>
      <c r="B40" s="26">
        <f>MONTH('Report Inputs'!$B$2)</f>
        <v>11</v>
      </c>
      <c r="C40" s="26">
        <f>YEAR('Report Inputs'!$B$2)</f>
        <v>2015</v>
      </c>
      <c r="D40" s="26">
        <v>66571</v>
      </c>
      <c r="F40" s="26" t="s">
        <v>65</v>
      </c>
      <c r="G40" s="26" t="s">
        <v>66</v>
      </c>
      <c r="H40" s="26" t="s">
        <v>67</v>
      </c>
      <c r="I40" s="26" t="s">
        <v>68</v>
      </c>
      <c r="J40" s="26" t="s">
        <v>69</v>
      </c>
      <c r="K40" s="26">
        <v>713</v>
      </c>
      <c r="L40" s="26" t="s">
        <v>70</v>
      </c>
      <c r="M40" s="26">
        <v>713</v>
      </c>
      <c r="N40" s="26" t="s">
        <v>71</v>
      </c>
      <c r="O40" s="26" t="s">
        <v>72</v>
      </c>
      <c r="P40" s="26">
        <v>45</v>
      </c>
      <c r="Q40" s="27">
        <v>10677</v>
      </c>
      <c r="R40" s="26">
        <v>0</v>
      </c>
      <c r="S40" s="26" t="s">
        <v>141</v>
      </c>
      <c r="T40" s="26" t="s">
        <v>80</v>
      </c>
      <c r="U40" s="26" t="str">
        <f t="shared" si="8"/>
        <v>PR</v>
      </c>
      <c r="V40" s="26">
        <f t="shared" si="0"/>
        <v>30</v>
      </c>
      <c r="W40" s="26" t="s">
        <v>101</v>
      </c>
      <c r="X40" s="26">
        <v>17</v>
      </c>
      <c r="Y40" s="26" t="s">
        <v>74</v>
      </c>
      <c r="Z40" s="26" t="s">
        <v>75</v>
      </c>
      <c r="AA40" s="28">
        <f t="shared" si="20"/>
        <v>0.46600000000000003</v>
      </c>
      <c r="AB40" s="28">
        <f t="shared" si="21"/>
        <v>7.048</v>
      </c>
      <c r="AC40" s="28">
        <f t="shared" si="22"/>
        <v>7.0659999999999998</v>
      </c>
      <c r="AD40" s="28">
        <f t="shared" si="17"/>
        <v>0</v>
      </c>
      <c r="AE40" s="28">
        <f t="shared" si="23"/>
        <v>0.44800000000000001</v>
      </c>
      <c r="AF40" s="28">
        <f t="shared" si="19"/>
        <v>4071.97</v>
      </c>
      <c r="AG40" s="28">
        <f t="shared" si="3"/>
        <v>1.3</v>
      </c>
      <c r="AH40" s="28">
        <f t="shared" si="4"/>
        <v>379.52600000000001</v>
      </c>
      <c r="AI40" s="28">
        <f t="shared" si="5"/>
        <v>0</v>
      </c>
      <c r="AJ40" s="28">
        <f t="shared" si="16"/>
        <v>3691.1439999999998</v>
      </c>
      <c r="AK40" s="30">
        <f>'Report Inputs'!$F$2</f>
        <v>55.9</v>
      </c>
      <c r="AL40" s="28">
        <f>'Report Inputs'!$E$2</f>
        <v>1080</v>
      </c>
      <c r="AM40" s="28">
        <f t="shared" si="24"/>
        <v>76.289000000000001</v>
      </c>
      <c r="AN40" s="26" t="s">
        <v>744</v>
      </c>
      <c r="AS40" s="26" t="s">
        <v>76</v>
      </c>
      <c r="AT40" s="26" t="s">
        <v>77</v>
      </c>
      <c r="AU40" s="26" t="s">
        <v>78</v>
      </c>
      <c r="AV40" s="31">
        <f t="shared" ca="1" si="7"/>
        <v>42376.365370717591</v>
      </c>
    </row>
    <row r="41" spans="1:48">
      <c r="A41" s="26">
        <v>7</v>
      </c>
      <c r="B41" s="26">
        <f>MONTH('Report Inputs'!$B$2)</f>
        <v>11</v>
      </c>
      <c r="C41" s="26">
        <f>YEAR('Report Inputs'!$B$2)</f>
        <v>2015</v>
      </c>
      <c r="D41" s="26">
        <v>66571</v>
      </c>
      <c r="F41" s="26" t="s">
        <v>65</v>
      </c>
      <c r="G41" s="26" t="s">
        <v>66</v>
      </c>
      <c r="H41" s="26" t="s">
        <v>67</v>
      </c>
      <c r="I41" s="26" t="s">
        <v>68</v>
      </c>
      <c r="J41" s="26" t="s">
        <v>69</v>
      </c>
      <c r="K41" s="26">
        <v>713</v>
      </c>
      <c r="L41" s="26" t="s">
        <v>70</v>
      </c>
      <c r="M41" s="26">
        <v>713</v>
      </c>
      <c r="N41" s="26" t="s">
        <v>71</v>
      </c>
      <c r="O41" s="26" t="s">
        <v>72</v>
      </c>
      <c r="P41" s="26">
        <v>45</v>
      </c>
      <c r="Q41" s="27">
        <v>10684</v>
      </c>
      <c r="R41" s="26">
        <v>0</v>
      </c>
      <c r="S41" s="26" t="s">
        <v>154</v>
      </c>
      <c r="T41" s="26" t="s">
        <v>80</v>
      </c>
      <c r="U41" s="26" t="str">
        <f t="shared" si="8"/>
        <v>PR</v>
      </c>
      <c r="V41" s="26">
        <f t="shared" si="0"/>
        <v>30</v>
      </c>
      <c r="W41" s="26" t="s">
        <v>90</v>
      </c>
      <c r="X41" s="26">
        <v>20</v>
      </c>
      <c r="Y41" s="26" t="s">
        <v>74</v>
      </c>
      <c r="Z41" s="26" t="s">
        <v>75</v>
      </c>
      <c r="AA41" s="28">
        <f t="shared" si="20"/>
        <v>1.7430000000000001</v>
      </c>
      <c r="AB41" s="28">
        <f t="shared" si="21"/>
        <v>44.414999999999999</v>
      </c>
      <c r="AC41" s="28">
        <f t="shared" si="22"/>
        <v>44.347000000000001</v>
      </c>
      <c r="AD41" s="28">
        <f t="shared" si="17"/>
        <v>0</v>
      </c>
      <c r="AE41" s="28">
        <f t="shared" si="23"/>
        <v>1.8109999999999999</v>
      </c>
      <c r="AF41" s="28">
        <f t="shared" si="19"/>
        <v>4861.82</v>
      </c>
      <c r="AG41" s="28">
        <f t="shared" si="3"/>
        <v>8.86</v>
      </c>
      <c r="AH41" s="28">
        <f t="shared" si="4"/>
        <v>416.24099999999999</v>
      </c>
      <c r="AI41" s="28">
        <f t="shared" si="5"/>
        <v>0</v>
      </c>
      <c r="AJ41" s="28">
        <f t="shared" si="16"/>
        <v>4436.7190000000001</v>
      </c>
      <c r="AK41" s="30">
        <f>'Report Inputs'!$F$2</f>
        <v>55.9</v>
      </c>
      <c r="AL41" s="28">
        <f>'Report Inputs'!$E$2</f>
        <v>1080</v>
      </c>
      <c r="AM41" s="28">
        <f t="shared" si="24"/>
        <v>562.34299999999996</v>
      </c>
      <c r="AN41" s="26" t="s">
        <v>744</v>
      </c>
      <c r="AS41" s="26" t="s">
        <v>76</v>
      </c>
      <c r="AT41" s="26" t="s">
        <v>77</v>
      </c>
      <c r="AU41" s="26" t="s">
        <v>78</v>
      </c>
      <c r="AV41" s="31">
        <f t="shared" ca="1" si="7"/>
        <v>42376.365370717591</v>
      </c>
    </row>
    <row r="42" spans="1:48">
      <c r="A42" s="26">
        <v>7</v>
      </c>
      <c r="B42" s="26">
        <f>MONTH('Report Inputs'!$B$2)</f>
        <v>11</v>
      </c>
      <c r="C42" s="26">
        <f>YEAR('Report Inputs'!$B$2)</f>
        <v>2015</v>
      </c>
      <c r="D42" s="26">
        <v>66571</v>
      </c>
      <c r="F42" s="26" t="s">
        <v>65</v>
      </c>
      <c r="G42" s="26" t="s">
        <v>66</v>
      </c>
      <c r="H42" s="26" t="s">
        <v>67</v>
      </c>
      <c r="I42" s="26" t="s">
        <v>68</v>
      </c>
      <c r="J42" s="26" t="s">
        <v>69</v>
      </c>
      <c r="K42" s="26">
        <v>713</v>
      </c>
      <c r="L42" s="26" t="s">
        <v>70</v>
      </c>
      <c r="M42" s="26">
        <v>713</v>
      </c>
      <c r="N42" s="26" t="s">
        <v>71</v>
      </c>
      <c r="O42" s="26" t="s">
        <v>72</v>
      </c>
      <c r="P42" s="26">
        <v>45</v>
      </c>
      <c r="Q42" s="27">
        <v>10685</v>
      </c>
      <c r="R42" s="26">
        <v>0</v>
      </c>
      <c r="S42" s="26" t="s">
        <v>156</v>
      </c>
      <c r="T42" s="26" t="s">
        <v>83</v>
      </c>
      <c r="U42" s="26" t="str">
        <f t="shared" si="8"/>
        <v>PR</v>
      </c>
      <c r="V42" s="26">
        <f t="shared" si="0"/>
        <v>30</v>
      </c>
      <c r="W42" s="26" t="s">
        <v>90</v>
      </c>
      <c r="X42" s="26">
        <v>20</v>
      </c>
      <c r="Y42" s="26" t="s">
        <v>74</v>
      </c>
      <c r="Z42" s="26" t="s">
        <v>75</v>
      </c>
      <c r="AA42" s="28">
        <f t="shared" si="20"/>
        <v>0.92</v>
      </c>
      <c r="AB42" s="28">
        <f t="shared" si="21"/>
        <v>23.715</v>
      </c>
      <c r="AC42" s="28">
        <f t="shared" si="22"/>
        <v>23.667999999999999</v>
      </c>
      <c r="AD42" s="28">
        <f t="shared" si="17"/>
        <v>0</v>
      </c>
      <c r="AE42" s="28">
        <f t="shared" si="23"/>
        <v>0.96699999999999997</v>
      </c>
      <c r="AF42" s="28">
        <f t="shared" si="19"/>
        <v>2693.2</v>
      </c>
      <c r="AG42" s="28">
        <f t="shared" si="3"/>
        <v>4.7300000000000004</v>
      </c>
      <c r="AH42" s="28">
        <f t="shared" si="4"/>
        <v>319.541</v>
      </c>
      <c r="AI42" s="28">
        <f t="shared" si="5"/>
        <v>-1</v>
      </c>
      <c r="AJ42" s="28">
        <f t="shared" si="16"/>
        <v>2368.9290000000001</v>
      </c>
      <c r="AK42" s="30">
        <f>'Report Inputs'!$F$2</f>
        <v>55.9</v>
      </c>
      <c r="AL42" s="28">
        <f>'Report Inputs'!$E$2</f>
        <v>1080</v>
      </c>
      <c r="AM42" s="28">
        <f t="shared" si="24"/>
        <v>300.25599999999997</v>
      </c>
      <c r="AN42" s="26" t="s">
        <v>744</v>
      </c>
      <c r="AS42" s="26" t="s">
        <v>76</v>
      </c>
      <c r="AT42" s="26" t="s">
        <v>77</v>
      </c>
      <c r="AU42" s="26" t="s">
        <v>78</v>
      </c>
      <c r="AV42" s="31">
        <f t="shared" ca="1" si="7"/>
        <v>42376.365370717591</v>
      </c>
    </row>
    <row r="43" spans="1:48">
      <c r="A43" s="26">
        <v>7</v>
      </c>
      <c r="B43" s="26">
        <f>MONTH('Report Inputs'!$B$2)</f>
        <v>11</v>
      </c>
      <c r="C43" s="26">
        <f>YEAR('Report Inputs'!$B$2)</f>
        <v>2015</v>
      </c>
      <c r="D43" s="26">
        <v>66571</v>
      </c>
      <c r="F43" s="26" t="s">
        <v>65</v>
      </c>
      <c r="G43" s="26" t="s">
        <v>66</v>
      </c>
      <c r="H43" s="26" t="s">
        <v>67</v>
      </c>
      <c r="I43" s="26" t="s">
        <v>68</v>
      </c>
      <c r="J43" s="26" t="s">
        <v>69</v>
      </c>
      <c r="K43" s="26">
        <v>713</v>
      </c>
      <c r="L43" s="26" t="s">
        <v>70</v>
      </c>
      <c r="M43" s="26">
        <v>713</v>
      </c>
      <c r="N43" s="26" t="s">
        <v>71</v>
      </c>
      <c r="O43" s="26" t="s">
        <v>72</v>
      </c>
      <c r="P43" s="26">
        <v>45</v>
      </c>
      <c r="Q43" s="27">
        <v>10686</v>
      </c>
      <c r="R43" s="26">
        <v>0</v>
      </c>
      <c r="S43" s="26" t="s">
        <v>123</v>
      </c>
      <c r="T43" s="26" t="s">
        <v>1035</v>
      </c>
      <c r="U43" s="26" t="str">
        <f t="shared" si="8"/>
        <v>PR</v>
      </c>
      <c r="V43" s="26">
        <f t="shared" si="0"/>
        <v>30</v>
      </c>
      <c r="W43" s="26" t="s">
        <v>124</v>
      </c>
      <c r="X43" s="26">
        <v>15</v>
      </c>
      <c r="Y43" s="26" t="s">
        <v>74</v>
      </c>
      <c r="Z43" s="26" t="s">
        <v>75</v>
      </c>
      <c r="AA43" s="28">
        <f t="shared" si="20"/>
        <v>1.0169999999999999</v>
      </c>
      <c r="AB43" s="28">
        <f t="shared" si="21"/>
        <v>21.152999999999999</v>
      </c>
      <c r="AC43" s="28">
        <f t="shared" si="22"/>
        <v>21.091999999999999</v>
      </c>
      <c r="AD43" s="28">
        <f t="shared" si="17"/>
        <v>0</v>
      </c>
      <c r="AE43" s="28">
        <f t="shared" si="23"/>
        <v>1.0780000000000001</v>
      </c>
      <c r="AF43" s="28">
        <f t="shared" si="19"/>
        <v>6793.42</v>
      </c>
      <c r="AG43" s="28">
        <f t="shared" si="3"/>
        <v>4.07</v>
      </c>
      <c r="AH43" s="28">
        <f t="shared" si="4"/>
        <v>565.029</v>
      </c>
      <c r="AI43" s="28">
        <f t="shared" si="5"/>
        <v>0</v>
      </c>
      <c r="AJ43" s="28">
        <f t="shared" si="16"/>
        <v>6224.3209999999999</v>
      </c>
      <c r="AK43" s="30">
        <f>'Report Inputs'!$F$2</f>
        <v>55.9</v>
      </c>
      <c r="AL43" s="28">
        <f>'Report Inputs'!$E$2</f>
        <v>1080</v>
      </c>
      <c r="AM43" s="28">
        <f t="shared" si="24"/>
        <v>197.14</v>
      </c>
      <c r="AN43" s="26" t="s">
        <v>744</v>
      </c>
      <c r="AS43" s="26" t="s">
        <v>76</v>
      </c>
      <c r="AT43" s="26" t="s">
        <v>77</v>
      </c>
      <c r="AU43" s="26" t="s">
        <v>78</v>
      </c>
      <c r="AV43" s="31">
        <f t="shared" ca="1" si="7"/>
        <v>42376.365370717591</v>
      </c>
    </row>
    <row r="44" spans="1:48">
      <c r="A44" s="26">
        <v>7</v>
      </c>
      <c r="B44" s="26">
        <f>MONTH('Report Inputs'!$B$2)</f>
        <v>11</v>
      </c>
      <c r="C44" s="26">
        <f>YEAR('Report Inputs'!$B$2)</f>
        <v>2015</v>
      </c>
      <c r="D44" s="26">
        <v>66571</v>
      </c>
      <c r="F44" s="26" t="s">
        <v>65</v>
      </c>
      <c r="G44" s="26" t="s">
        <v>66</v>
      </c>
      <c r="H44" s="26" t="s">
        <v>67</v>
      </c>
      <c r="I44" s="26" t="s">
        <v>68</v>
      </c>
      <c r="J44" s="26" t="s">
        <v>69</v>
      </c>
      <c r="K44" s="26">
        <v>713</v>
      </c>
      <c r="L44" s="26" t="s">
        <v>70</v>
      </c>
      <c r="M44" s="26">
        <v>713</v>
      </c>
      <c r="N44" s="26" t="s">
        <v>71</v>
      </c>
      <c r="O44" s="26" t="s">
        <v>72</v>
      </c>
      <c r="P44" s="26">
        <v>45</v>
      </c>
      <c r="Q44" s="27">
        <v>10687</v>
      </c>
      <c r="R44" s="26">
        <v>0</v>
      </c>
      <c r="S44" s="26" t="s">
        <v>130</v>
      </c>
      <c r="T44" s="26" t="s">
        <v>83</v>
      </c>
      <c r="U44" s="26" t="str">
        <f t="shared" si="8"/>
        <v>PR</v>
      </c>
      <c r="V44" s="26">
        <f t="shared" si="0"/>
        <v>30</v>
      </c>
      <c r="W44" s="26" t="s">
        <v>107</v>
      </c>
      <c r="X44" s="26">
        <v>15</v>
      </c>
      <c r="Y44" s="26" t="s">
        <v>74</v>
      </c>
      <c r="Z44" s="26" t="s">
        <v>75</v>
      </c>
      <c r="AA44" s="28">
        <f t="shared" si="20"/>
        <v>0.38800000000000001</v>
      </c>
      <c r="AB44" s="28">
        <f t="shared" si="21"/>
        <v>1.01</v>
      </c>
      <c r="AC44" s="28">
        <f t="shared" si="22"/>
        <v>1.052</v>
      </c>
      <c r="AD44" s="28">
        <f t="shared" si="17"/>
        <v>0</v>
      </c>
      <c r="AE44" s="28">
        <f t="shared" si="23"/>
        <v>0.34599999999999997</v>
      </c>
      <c r="AF44" s="28">
        <f t="shared" si="19"/>
        <v>6493.91</v>
      </c>
      <c r="AG44" s="28">
        <f t="shared" si="3"/>
        <v>0</v>
      </c>
      <c r="AH44" s="28">
        <f t="shared" si="4"/>
        <v>687.71900000000005</v>
      </c>
      <c r="AI44" s="28">
        <f t="shared" si="5"/>
        <v>0</v>
      </c>
      <c r="AJ44" s="28">
        <f t="shared" si="16"/>
        <v>5806.1909999999998</v>
      </c>
      <c r="AK44" s="30">
        <f>'Report Inputs'!$F$2</f>
        <v>55.9</v>
      </c>
      <c r="AL44" s="28">
        <f>'Report Inputs'!$E$2</f>
        <v>1080</v>
      </c>
      <c r="AM44" s="28">
        <f t="shared" si="24"/>
        <v>1.718</v>
      </c>
      <c r="AN44" s="26" t="s">
        <v>744</v>
      </c>
      <c r="AS44" s="26" t="s">
        <v>76</v>
      </c>
      <c r="AT44" s="26" t="s">
        <v>77</v>
      </c>
      <c r="AU44" s="26" t="s">
        <v>78</v>
      </c>
      <c r="AV44" s="31">
        <f t="shared" ca="1" si="7"/>
        <v>42376.365370717591</v>
      </c>
    </row>
    <row r="45" spans="1:48">
      <c r="A45" s="26">
        <v>7</v>
      </c>
      <c r="B45" s="26">
        <f>MONTH('Report Inputs'!$B$2)</f>
        <v>11</v>
      </c>
      <c r="C45" s="26">
        <f>YEAR('Report Inputs'!$B$2)</f>
        <v>2015</v>
      </c>
      <c r="D45" s="26">
        <v>66571</v>
      </c>
      <c r="F45" s="26" t="s">
        <v>65</v>
      </c>
      <c r="G45" s="26" t="s">
        <v>66</v>
      </c>
      <c r="H45" s="26" t="s">
        <v>67</v>
      </c>
      <c r="I45" s="26" t="s">
        <v>68</v>
      </c>
      <c r="J45" s="26" t="s">
        <v>69</v>
      </c>
      <c r="K45" s="26">
        <v>713</v>
      </c>
      <c r="L45" s="26" t="s">
        <v>70</v>
      </c>
      <c r="M45" s="26">
        <v>713</v>
      </c>
      <c r="N45" s="26" t="s">
        <v>71</v>
      </c>
      <c r="O45" s="26" t="s">
        <v>72</v>
      </c>
      <c r="P45" s="26">
        <v>45</v>
      </c>
      <c r="Q45" s="27">
        <v>10854</v>
      </c>
      <c r="R45" s="26">
        <v>0</v>
      </c>
      <c r="S45" s="26" t="s">
        <v>100</v>
      </c>
      <c r="T45" s="26" t="s">
        <v>80</v>
      </c>
      <c r="U45" s="26" t="str">
        <f t="shared" si="8"/>
        <v>PR</v>
      </c>
      <c r="V45" s="26">
        <f t="shared" si="0"/>
        <v>30</v>
      </c>
      <c r="W45" s="26" t="s">
        <v>101</v>
      </c>
      <c r="X45" s="26">
        <v>10</v>
      </c>
      <c r="Y45" s="26" t="s">
        <v>74</v>
      </c>
      <c r="Z45" s="26" t="s">
        <v>75</v>
      </c>
      <c r="AA45" s="28">
        <f t="shared" si="20"/>
        <v>0.82599999999999996</v>
      </c>
      <c r="AB45" s="28">
        <v>0</v>
      </c>
      <c r="AC45" s="28">
        <v>0</v>
      </c>
      <c r="AD45" s="28">
        <f t="shared" ref="AD45" si="25">ROUND(AC45,0)+ROUND(AE45,0)-ROUND(AA45,0)-ROUND(AB45,0)</f>
        <v>-1</v>
      </c>
      <c r="AE45" s="28">
        <v>0</v>
      </c>
      <c r="AF45" s="28">
        <f t="shared" si="19"/>
        <v>4348.5</v>
      </c>
      <c r="AG45" s="28">
        <f t="shared" si="3"/>
        <v>2.15</v>
      </c>
      <c r="AH45" s="28">
        <f t="shared" si="4"/>
        <v>459.00700000000001</v>
      </c>
      <c r="AI45" s="28">
        <f t="shared" si="5"/>
        <v>1</v>
      </c>
      <c r="AJ45" s="28">
        <f t="shared" si="16"/>
        <v>3887.3429999999998</v>
      </c>
      <c r="AL45" s="28">
        <f>'Report Inputs'!$E$2</f>
        <v>1080</v>
      </c>
      <c r="AM45" s="28">
        <f t="shared" si="24"/>
        <v>111.321</v>
      </c>
      <c r="AN45" s="26" t="s">
        <v>744</v>
      </c>
      <c r="AS45" s="26" t="s">
        <v>76</v>
      </c>
      <c r="AT45" s="26" t="s">
        <v>77</v>
      </c>
      <c r="AU45" s="26" t="s">
        <v>78</v>
      </c>
      <c r="AV45" s="31">
        <f t="shared" ca="1" si="7"/>
        <v>42376.365370717591</v>
      </c>
    </row>
    <row r="46" spans="1:48">
      <c r="A46" s="26">
        <v>7</v>
      </c>
      <c r="B46" s="26">
        <f>MONTH('Report Inputs'!$B$2)</f>
        <v>11</v>
      </c>
      <c r="C46" s="26">
        <f>YEAR('Report Inputs'!$B$2)</f>
        <v>2015</v>
      </c>
      <c r="D46" s="26">
        <v>66571</v>
      </c>
      <c r="F46" s="26" t="s">
        <v>65</v>
      </c>
      <c r="G46" s="26" t="s">
        <v>66</v>
      </c>
      <c r="H46" s="26" t="s">
        <v>67</v>
      </c>
      <c r="I46" s="26" t="s">
        <v>68</v>
      </c>
      <c r="J46" s="26" t="s">
        <v>69</v>
      </c>
      <c r="K46" s="26">
        <v>713</v>
      </c>
      <c r="L46" s="26" t="s">
        <v>70</v>
      </c>
      <c r="M46" s="26">
        <v>713</v>
      </c>
      <c r="N46" s="26" t="s">
        <v>71</v>
      </c>
      <c r="O46" s="26" t="s">
        <v>72</v>
      </c>
      <c r="P46" s="26">
        <v>45</v>
      </c>
      <c r="Q46" s="27">
        <v>10855</v>
      </c>
      <c r="R46" s="26">
        <v>0</v>
      </c>
      <c r="S46" s="26" t="s">
        <v>99</v>
      </c>
      <c r="T46" s="26" t="s">
        <v>80</v>
      </c>
      <c r="U46" s="26" t="str">
        <f t="shared" si="8"/>
        <v>PR</v>
      </c>
      <c r="V46" s="26">
        <f t="shared" si="0"/>
        <v>30</v>
      </c>
      <c r="W46" s="26" t="s">
        <v>86</v>
      </c>
      <c r="X46" s="26">
        <v>10</v>
      </c>
      <c r="Y46" s="26" t="s">
        <v>74</v>
      </c>
      <c r="Z46" s="26" t="s">
        <v>75</v>
      </c>
      <c r="AA46" s="28">
        <f t="shared" si="20"/>
        <v>0.43</v>
      </c>
      <c r="AB46" s="28">
        <f t="shared" si="21"/>
        <v>104.254</v>
      </c>
      <c r="AC46" s="28">
        <f t="shared" si="22"/>
        <v>100.80500000000001</v>
      </c>
      <c r="AD46" s="28">
        <f t="shared" si="17"/>
        <v>1</v>
      </c>
      <c r="AE46" s="28">
        <f t="shared" si="23"/>
        <v>3.879</v>
      </c>
      <c r="AF46" s="28">
        <f t="shared" si="19"/>
        <v>3978.49</v>
      </c>
      <c r="AG46" s="28">
        <f t="shared" si="3"/>
        <v>21.04</v>
      </c>
      <c r="AH46" s="28">
        <f t="shared" si="4"/>
        <v>442.12900000000002</v>
      </c>
      <c r="AI46" s="28">
        <f t="shared" si="5"/>
        <v>0</v>
      </c>
      <c r="AJ46" s="28">
        <f t="shared" si="16"/>
        <v>3515.3209999999999</v>
      </c>
      <c r="AK46" s="30">
        <f>'Report Inputs'!$F$2</f>
        <v>55.9</v>
      </c>
      <c r="AL46" s="28">
        <f>'Report Inputs'!$E$2</f>
        <v>1080</v>
      </c>
      <c r="AM46" s="28">
        <f t="shared" si="24"/>
        <v>155.91999999999999</v>
      </c>
      <c r="AN46" s="26" t="s">
        <v>744</v>
      </c>
      <c r="AS46" s="26" t="s">
        <v>76</v>
      </c>
      <c r="AT46" s="26" t="s">
        <v>77</v>
      </c>
      <c r="AU46" s="26" t="s">
        <v>78</v>
      </c>
      <c r="AV46" s="31">
        <f t="shared" ca="1" si="7"/>
        <v>42376.365370717591</v>
      </c>
    </row>
    <row r="47" spans="1:48">
      <c r="A47" s="26">
        <v>7</v>
      </c>
      <c r="B47" s="26">
        <f>MONTH('Report Inputs'!$B$2)</f>
        <v>11</v>
      </c>
      <c r="C47" s="26">
        <f>YEAR('Report Inputs'!$B$2)</f>
        <v>2015</v>
      </c>
      <c r="D47" s="26">
        <v>66571</v>
      </c>
      <c r="F47" s="26" t="s">
        <v>65</v>
      </c>
      <c r="G47" s="26" t="s">
        <v>66</v>
      </c>
      <c r="H47" s="26" t="s">
        <v>67</v>
      </c>
      <c r="I47" s="26" t="s">
        <v>68</v>
      </c>
      <c r="J47" s="26" t="s">
        <v>69</v>
      </c>
      <c r="K47" s="26">
        <v>713</v>
      </c>
      <c r="L47" s="26" t="s">
        <v>70</v>
      </c>
      <c r="M47" s="26">
        <v>713</v>
      </c>
      <c r="N47" s="26" t="s">
        <v>71</v>
      </c>
      <c r="O47" s="26" t="s">
        <v>72</v>
      </c>
      <c r="P47" s="26">
        <v>45</v>
      </c>
      <c r="Q47" s="27">
        <v>10930</v>
      </c>
      <c r="R47" s="26">
        <v>0</v>
      </c>
      <c r="S47" s="26" t="s">
        <v>208</v>
      </c>
      <c r="T47" s="26" t="s">
        <v>83</v>
      </c>
      <c r="U47" s="26" t="str">
        <f t="shared" si="8"/>
        <v>PR</v>
      </c>
      <c r="V47" s="26">
        <f t="shared" si="0"/>
        <v>30</v>
      </c>
      <c r="W47" s="26" t="s">
        <v>94</v>
      </c>
      <c r="X47" s="26">
        <v>23</v>
      </c>
      <c r="Y47" s="26" t="s">
        <v>194</v>
      </c>
      <c r="Z47" s="26" t="s">
        <v>75</v>
      </c>
      <c r="AA47" s="28">
        <f t="shared" si="20"/>
        <v>10.292999999999999</v>
      </c>
      <c r="AB47" s="28">
        <f t="shared" si="21"/>
        <v>4.58</v>
      </c>
      <c r="AC47" s="28">
        <f t="shared" si="22"/>
        <v>6.16</v>
      </c>
      <c r="AD47" s="28">
        <f t="shared" si="17"/>
        <v>0</v>
      </c>
      <c r="AE47" s="28">
        <f t="shared" si="23"/>
        <v>8.7129999999999992</v>
      </c>
      <c r="AF47" s="28">
        <f t="shared" si="19"/>
        <v>2291.65</v>
      </c>
      <c r="AG47" s="28">
        <f t="shared" si="3"/>
        <v>0</v>
      </c>
      <c r="AH47" s="28">
        <f t="shared" si="4"/>
        <v>369.83699999999999</v>
      </c>
      <c r="AI47" s="28">
        <f t="shared" si="5"/>
        <v>0</v>
      </c>
      <c r="AJ47" s="28">
        <f t="shared" si="16"/>
        <v>1921.8130000000001</v>
      </c>
      <c r="AK47" s="30">
        <f>'Report Inputs'!$F$2</f>
        <v>55.9</v>
      </c>
      <c r="AL47" s="28">
        <f>'Report Inputs'!$E$2</f>
        <v>1080</v>
      </c>
      <c r="AM47" s="28">
        <f t="shared" si="24"/>
        <v>33.521999999999998</v>
      </c>
      <c r="AN47" s="26" t="s">
        <v>744</v>
      </c>
      <c r="AS47" s="26" t="s">
        <v>76</v>
      </c>
      <c r="AT47" s="26" t="s">
        <v>77</v>
      </c>
      <c r="AU47" s="26" t="s">
        <v>78</v>
      </c>
      <c r="AV47" s="31">
        <f t="shared" ca="1" si="7"/>
        <v>42376.365370717591</v>
      </c>
    </row>
    <row r="48" spans="1:48" s="32" customFormat="1">
      <c r="A48" s="32">
        <v>7</v>
      </c>
      <c r="B48" s="32">
        <f>MONTH('Report Inputs'!$B$2)</f>
        <v>11</v>
      </c>
      <c r="C48" s="32">
        <f>YEAR('Report Inputs'!$B$2)</f>
        <v>2015</v>
      </c>
      <c r="D48" s="32">
        <v>66571</v>
      </c>
      <c r="F48" s="32" t="s">
        <v>65</v>
      </c>
      <c r="G48" s="32" t="s">
        <v>66</v>
      </c>
      <c r="H48" s="32" t="s">
        <v>67</v>
      </c>
      <c r="I48" s="32" t="s">
        <v>68</v>
      </c>
      <c r="J48" s="32" t="s">
        <v>69</v>
      </c>
      <c r="K48" s="32">
        <v>713</v>
      </c>
      <c r="L48" s="32" t="s">
        <v>70</v>
      </c>
      <c r="M48" s="32">
        <v>713</v>
      </c>
      <c r="N48" s="32" t="s">
        <v>71</v>
      </c>
      <c r="O48" s="32" t="s">
        <v>72</v>
      </c>
      <c r="P48" s="32">
        <v>45</v>
      </c>
      <c r="Q48" s="33">
        <v>11171</v>
      </c>
      <c r="R48" s="32">
        <v>0</v>
      </c>
      <c r="S48" s="32" t="s">
        <v>214</v>
      </c>
      <c r="T48" s="32" t="s">
        <v>83</v>
      </c>
      <c r="U48" s="32" t="str">
        <f t="shared" si="8"/>
        <v>PR</v>
      </c>
      <c r="V48" s="32">
        <f t="shared" si="0"/>
        <v>30</v>
      </c>
      <c r="W48" s="32" t="s">
        <v>73</v>
      </c>
      <c r="X48" s="32">
        <v>8</v>
      </c>
      <c r="Y48" s="32" t="s">
        <v>194</v>
      </c>
      <c r="Z48" s="32" t="s">
        <v>75</v>
      </c>
      <c r="AA48" s="29">
        <f t="shared" si="20"/>
        <v>26.968</v>
      </c>
      <c r="AB48" s="29">
        <f t="shared" si="21"/>
        <v>0.752</v>
      </c>
      <c r="AC48" s="29">
        <f t="shared" si="22"/>
        <v>0.41499999999999998</v>
      </c>
      <c r="AD48" s="29">
        <f t="shared" si="17"/>
        <v>-1</v>
      </c>
      <c r="AE48" s="29">
        <f t="shared" si="23"/>
        <v>27.305</v>
      </c>
      <c r="AF48" s="29">
        <f t="shared" si="19"/>
        <v>2675.62</v>
      </c>
      <c r="AG48" s="29">
        <f t="shared" si="3"/>
        <v>7.0000000000000007E-2</v>
      </c>
      <c r="AH48" s="29">
        <f t="shared" si="4"/>
        <v>386.49700000000001</v>
      </c>
      <c r="AI48" s="29">
        <f t="shared" si="5"/>
        <v>1</v>
      </c>
      <c r="AJ48" s="29">
        <f t="shared" si="16"/>
        <v>2289.0529999999999</v>
      </c>
      <c r="AK48" s="34"/>
      <c r="AL48" s="29">
        <f>'Report Inputs'!$E$2</f>
        <v>1080</v>
      </c>
      <c r="AM48" s="29">
        <f t="shared" si="24"/>
        <v>124.253</v>
      </c>
      <c r="AN48" s="32" t="s">
        <v>744</v>
      </c>
      <c r="AS48" s="32" t="s">
        <v>76</v>
      </c>
      <c r="AT48" s="32" t="s">
        <v>77</v>
      </c>
      <c r="AU48" s="32" t="s">
        <v>78</v>
      </c>
      <c r="AV48" s="35">
        <f t="shared" ca="1" si="7"/>
        <v>42376.365370717591</v>
      </c>
    </row>
    <row r="49" spans="1:48" s="32" customFormat="1">
      <c r="A49" s="32">
        <v>7</v>
      </c>
      <c r="B49" s="32">
        <f>MONTH('Report Inputs'!$B$2)</f>
        <v>11</v>
      </c>
      <c r="C49" s="32">
        <f>YEAR('Report Inputs'!$B$2)</f>
        <v>2015</v>
      </c>
      <c r="D49" s="32">
        <v>66571</v>
      </c>
      <c r="F49" s="32" t="s">
        <v>65</v>
      </c>
      <c r="G49" s="32" t="s">
        <v>66</v>
      </c>
      <c r="H49" s="32" t="s">
        <v>67</v>
      </c>
      <c r="I49" s="32" t="s">
        <v>68</v>
      </c>
      <c r="J49" s="32" t="s">
        <v>69</v>
      </c>
      <c r="K49" s="32">
        <v>713</v>
      </c>
      <c r="L49" s="32" t="s">
        <v>70</v>
      </c>
      <c r="M49" s="32">
        <v>713</v>
      </c>
      <c r="N49" s="32" t="s">
        <v>71</v>
      </c>
      <c r="O49" s="32" t="s">
        <v>72</v>
      </c>
      <c r="P49" s="32">
        <v>45</v>
      </c>
      <c r="Q49" s="33">
        <v>11172</v>
      </c>
      <c r="R49" s="32">
        <v>0</v>
      </c>
      <c r="S49" s="32" t="s">
        <v>213</v>
      </c>
      <c r="T49" s="32" t="s">
        <v>83</v>
      </c>
      <c r="U49" s="32" t="str">
        <f t="shared" si="8"/>
        <v>PR</v>
      </c>
      <c r="V49" s="32">
        <f t="shared" si="0"/>
        <v>30</v>
      </c>
      <c r="W49" s="32" t="s">
        <v>86</v>
      </c>
      <c r="X49" s="32">
        <v>8</v>
      </c>
      <c r="Y49" s="32" t="s">
        <v>194</v>
      </c>
      <c r="Z49" s="32" t="s">
        <v>75</v>
      </c>
      <c r="AA49" s="29">
        <f t="shared" si="20"/>
        <v>87.188999999999993</v>
      </c>
      <c r="AB49" s="29">
        <f t="shared" si="21"/>
        <v>3.3809999999999998</v>
      </c>
      <c r="AC49" s="29">
        <f t="shared" si="22"/>
        <v>0.36399999999999999</v>
      </c>
      <c r="AD49" s="29">
        <f t="shared" si="17"/>
        <v>0</v>
      </c>
      <c r="AE49" s="29">
        <f t="shared" si="23"/>
        <v>90.206000000000003</v>
      </c>
      <c r="AF49" s="29">
        <f t="shared" si="19"/>
        <v>2390.37</v>
      </c>
      <c r="AG49" s="29">
        <f t="shared" si="3"/>
        <v>0.62</v>
      </c>
      <c r="AH49" s="29">
        <f t="shared" si="4"/>
        <v>374.09399999999999</v>
      </c>
      <c r="AI49" s="29">
        <f t="shared" si="5"/>
        <v>-1</v>
      </c>
      <c r="AJ49" s="29">
        <f t="shared" si="16"/>
        <v>2015.6559999999999</v>
      </c>
      <c r="AK49" s="34"/>
      <c r="AL49" s="29">
        <f>'Report Inputs'!$E$2</f>
        <v>1080</v>
      </c>
      <c r="AM49" s="29">
        <f t="shared" si="24"/>
        <v>55.926000000000002</v>
      </c>
      <c r="AN49" s="32" t="s">
        <v>744</v>
      </c>
      <c r="AS49" s="32" t="s">
        <v>76</v>
      </c>
      <c r="AT49" s="32" t="s">
        <v>77</v>
      </c>
      <c r="AU49" s="32" t="s">
        <v>78</v>
      </c>
      <c r="AV49" s="35">
        <f t="shared" ca="1" si="7"/>
        <v>42376.365370717591</v>
      </c>
    </row>
    <row r="50" spans="1:48">
      <c r="A50" s="26">
        <v>7</v>
      </c>
      <c r="B50" s="26">
        <f>MONTH('Report Inputs'!$B$2)</f>
        <v>11</v>
      </c>
      <c r="C50" s="26">
        <f>YEAR('Report Inputs'!$B$2)</f>
        <v>2015</v>
      </c>
      <c r="D50" s="26">
        <v>66571</v>
      </c>
      <c r="F50" s="26" t="s">
        <v>65</v>
      </c>
      <c r="G50" s="26" t="s">
        <v>66</v>
      </c>
      <c r="H50" s="26" t="s">
        <v>67</v>
      </c>
      <c r="I50" s="26" t="s">
        <v>68</v>
      </c>
      <c r="J50" s="26" t="s">
        <v>69</v>
      </c>
      <c r="K50" s="26">
        <v>713</v>
      </c>
      <c r="L50" s="26" t="s">
        <v>70</v>
      </c>
      <c r="M50" s="26">
        <v>713</v>
      </c>
      <c r="N50" s="26" t="s">
        <v>71</v>
      </c>
      <c r="O50" s="26" t="s">
        <v>72</v>
      </c>
      <c r="P50" s="26">
        <v>45</v>
      </c>
      <c r="Q50" s="27">
        <v>11546</v>
      </c>
      <c r="R50" s="26">
        <v>0</v>
      </c>
      <c r="S50" s="26" t="s">
        <v>155</v>
      </c>
      <c r="T50" s="26" t="s">
        <v>83</v>
      </c>
      <c r="U50" s="26" t="str">
        <f t="shared" si="8"/>
        <v>PR</v>
      </c>
      <c r="V50" s="26">
        <f t="shared" si="0"/>
        <v>30</v>
      </c>
      <c r="W50" s="26" t="s">
        <v>86</v>
      </c>
      <c r="X50" s="26">
        <v>20</v>
      </c>
      <c r="Y50" s="26" t="s">
        <v>74</v>
      </c>
      <c r="Z50" s="26" t="s">
        <v>75</v>
      </c>
      <c r="AA50" s="28">
        <f t="shared" si="20"/>
        <v>0.61499999999999999</v>
      </c>
      <c r="AB50" s="28">
        <f t="shared" si="21"/>
        <v>1.88</v>
      </c>
      <c r="AC50" s="28">
        <f t="shared" si="22"/>
        <v>2.339</v>
      </c>
      <c r="AD50" s="28">
        <f t="shared" si="17"/>
        <v>-1</v>
      </c>
      <c r="AE50" s="28">
        <f t="shared" si="23"/>
        <v>0.156</v>
      </c>
      <c r="AF50" s="28">
        <f t="shared" si="19"/>
        <v>1964.18</v>
      </c>
      <c r="AG50" s="28">
        <f t="shared" si="3"/>
        <v>0.32</v>
      </c>
      <c r="AH50" s="28">
        <f t="shared" si="4"/>
        <v>290.85899999999998</v>
      </c>
      <c r="AI50" s="28">
        <f t="shared" si="5"/>
        <v>0</v>
      </c>
      <c r="AJ50" s="28">
        <f t="shared" si="16"/>
        <v>1673.001</v>
      </c>
      <c r="AK50" s="30">
        <f>'Report Inputs'!$F$2</f>
        <v>55.9</v>
      </c>
      <c r="AL50" s="28">
        <f>'Report Inputs'!$E$2</f>
        <v>1080</v>
      </c>
      <c r="AM50" s="28">
        <f t="shared" si="24"/>
        <v>22.26</v>
      </c>
      <c r="AN50" s="26" t="s">
        <v>744</v>
      </c>
      <c r="AS50" s="26" t="s">
        <v>76</v>
      </c>
      <c r="AT50" s="26" t="s">
        <v>77</v>
      </c>
      <c r="AU50" s="26" t="s">
        <v>78</v>
      </c>
      <c r="AV50" s="31">
        <f t="shared" ca="1" si="7"/>
        <v>42376.365370717591</v>
      </c>
    </row>
    <row r="51" spans="1:48">
      <c r="A51" s="26">
        <v>7</v>
      </c>
      <c r="B51" s="26">
        <f>MONTH('Report Inputs'!$B$2)</f>
        <v>11</v>
      </c>
      <c r="C51" s="26">
        <f>YEAR('Report Inputs'!$B$2)</f>
        <v>2015</v>
      </c>
      <c r="D51" s="26">
        <v>66571</v>
      </c>
      <c r="F51" s="26" t="s">
        <v>65</v>
      </c>
      <c r="G51" s="26" t="s">
        <v>66</v>
      </c>
      <c r="H51" s="26" t="s">
        <v>67</v>
      </c>
      <c r="I51" s="26" t="s">
        <v>68</v>
      </c>
      <c r="J51" s="26" t="s">
        <v>69</v>
      </c>
      <c r="K51" s="26">
        <v>713</v>
      </c>
      <c r="L51" s="26" t="s">
        <v>70</v>
      </c>
      <c r="M51" s="26">
        <v>713</v>
      </c>
      <c r="N51" s="26" t="s">
        <v>71</v>
      </c>
      <c r="O51" s="26" t="s">
        <v>72</v>
      </c>
      <c r="P51" s="26">
        <v>45</v>
      </c>
      <c r="Q51" s="27">
        <v>11547</v>
      </c>
      <c r="R51" s="26">
        <v>0</v>
      </c>
      <c r="S51" s="26" t="s">
        <v>152</v>
      </c>
      <c r="T51" s="26" t="s">
        <v>80</v>
      </c>
      <c r="U51" s="26" t="str">
        <f t="shared" si="8"/>
        <v>PR</v>
      </c>
      <c r="V51" s="26">
        <f t="shared" si="0"/>
        <v>30</v>
      </c>
      <c r="W51" s="26" t="s">
        <v>86</v>
      </c>
      <c r="X51" s="26">
        <v>20</v>
      </c>
      <c r="Y51" s="26" t="s">
        <v>74</v>
      </c>
      <c r="Z51" s="26" t="s">
        <v>75</v>
      </c>
      <c r="AA51" s="28">
        <f t="shared" si="20"/>
        <v>1.1379999999999999</v>
      </c>
      <c r="AB51" s="28">
        <f t="shared" si="21"/>
        <v>3.496</v>
      </c>
      <c r="AC51" s="28">
        <f t="shared" si="22"/>
        <v>4.3440000000000003</v>
      </c>
      <c r="AD51" s="28">
        <f t="shared" si="17"/>
        <v>0</v>
      </c>
      <c r="AE51" s="28">
        <f t="shared" si="23"/>
        <v>0.28999999999999998</v>
      </c>
      <c r="AF51" s="28">
        <f t="shared" si="19"/>
        <v>3534.67</v>
      </c>
      <c r="AG51" s="28">
        <f t="shared" si="3"/>
        <v>0.6</v>
      </c>
      <c r="AH51" s="28">
        <f t="shared" si="4"/>
        <v>423.20100000000002</v>
      </c>
      <c r="AI51" s="28">
        <f t="shared" si="5"/>
        <v>0</v>
      </c>
      <c r="AJ51" s="28">
        <f t="shared" si="16"/>
        <v>3110.8690000000001</v>
      </c>
      <c r="AK51" s="30">
        <f>'Report Inputs'!$F$2</f>
        <v>55.9</v>
      </c>
      <c r="AL51" s="28">
        <f>'Report Inputs'!$E$2</f>
        <v>1080</v>
      </c>
      <c r="AM51" s="28">
        <f t="shared" si="24"/>
        <v>41.392000000000003</v>
      </c>
      <c r="AN51" s="26" t="s">
        <v>744</v>
      </c>
      <c r="AS51" s="26" t="s">
        <v>76</v>
      </c>
      <c r="AT51" s="26" t="s">
        <v>77</v>
      </c>
      <c r="AU51" s="26" t="s">
        <v>78</v>
      </c>
      <c r="AV51" s="31">
        <f t="shared" ca="1" si="7"/>
        <v>42376.365370717591</v>
      </c>
    </row>
    <row r="52" spans="1:48">
      <c r="A52" s="26">
        <v>7</v>
      </c>
      <c r="B52" s="26">
        <f>MONTH('Report Inputs'!$B$2)</f>
        <v>11</v>
      </c>
      <c r="C52" s="26">
        <f>YEAR('Report Inputs'!$B$2)</f>
        <v>2015</v>
      </c>
      <c r="D52" s="26">
        <v>66571</v>
      </c>
      <c r="F52" s="26" t="s">
        <v>65</v>
      </c>
      <c r="G52" s="26" t="s">
        <v>66</v>
      </c>
      <c r="H52" s="26" t="s">
        <v>67</v>
      </c>
      <c r="I52" s="26" t="s">
        <v>68</v>
      </c>
      <c r="J52" s="26" t="s">
        <v>69</v>
      </c>
      <c r="K52" s="26">
        <v>713</v>
      </c>
      <c r="L52" s="26" t="s">
        <v>70</v>
      </c>
      <c r="M52" s="26">
        <v>713</v>
      </c>
      <c r="N52" s="26" t="s">
        <v>71</v>
      </c>
      <c r="O52" s="26" t="s">
        <v>72</v>
      </c>
      <c r="P52" s="26">
        <v>45</v>
      </c>
      <c r="Q52" s="27">
        <v>11549</v>
      </c>
      <c r="R52" s="26">
        <v>0</v>
      </c>
      <c r="S52" s="26" t="s">
        <v>157</v>
      </c>
      <c r="T52" s="26" t="s">
        <v>83</v>
      </c>
      <c r="U52" s="26" t="str">
        <f t="shared" si="8"/>
        <v>PR</v>
      </c>
      <c r="V52" s="26">
        <f t="shared" si="0"/>
        <v>30</v>
      </c>
      <c r="W52" s="26" t="s">
        <v>86</v>
      </c>
      <c r="X52" s="26">
        <v>20</v>
      </c>
      <c r="Y52" s="26" t="s">
        <v>74</v>
      </c>
      <c r="Z52" s="26" t="s">
        <v>75</v>
      </c>
      <c r="AA52" s="28">
        <f t="shared" si="20"/>
        <v>0.83699999999999997</v>
      </c>
      <c r="AB52" s="28">
        <f t="shared" si="21"/>
        <v>2.3279999999999998</v>
      </c>
      <c r="AC52" s="28">
        <f t="shared" si="22"/>
        <v>2.9689999999999999</v>
      </c>
      <c r="AD52" s="28">
        <f t="shared" si="17"/>
        <v>0</v>
      </c>
      <c r="AE52" s="28">
        <f t="shared" si="23"/>
        <v>0.19600000000000001</v>
      </c>
      <c r="AF52" s="28">
        <f t="shared" si="19"/>
        <v>2377.67</v>
      </c>
      <c r="AG52" s="28">
        <f t="shared" si="3"/>
        <v>0.4</v>
      </c>
      <c r="AH52" s="28">
        <f t="shared" si="4"/>
        <v>306.03500000000003</v>
      </c>
      <c r="AI52" s="28">
        <f t="shared" si="5"/>
        <v>1</v>
      </c>
      <c r="AJ52" s="28">
        <f t="shared" si="16"/>
        <v>2071.2350000000001</v>
      </c>
      <c r="AK52" s="30">
        <f>'Report Inputs'!$F$2</f>
        <v>55.9</v>
      </c>
      <c r="AL52" s="28">
        <f>'Report Inputs'!$E$2</f>
        <v>1080</v>
      </c>
      <c r="AM52" s="28">
        <f t="shared" si="24"/>
        <v>27.559000000000001</v>
      </c>
      <c r="AN52" s="26" t="s">
        <v>744</v>
      </c>
      <c r="AS52" s="26" t="s">
        <v>76</v>
      </c>
      <c r="AT52" s="26" t="s">
        <v>77</v>
      </c>
      <c r="AU52" s="26" t="s">
        <v>78</v>
      </c>
      <c r="AV52" s="31">
        <f t="shared" ca="1" si="7"/>
        <v>42376.365370717591</v>
      </c>
    </row>
    <row r="53" spans="1:48">
      <c r="A53" s="26">
        <v>7</v>
      </c>
      <c r="B53" s="26">
        <f>MONTH('Report Inputs'!$B$2)</f>
        <v>11</v>
      </c>
      <c r="C53" s="26">
        <f>YEAR('Report Inputs'!$B$2)</f>
        <v>2015</v>
      </c>
      <c r="D53" s="26">
        <v>66571</v>
      </c>
      <c r="F53" s="26" t="s">
        <v>65</v>
      </c>
      <c r="G53" s="26" t="s">
        <v>66</v>
      </c>
      <c r="H53" s="26" t="s">
        <v>67</v>
      </c>
      <c r="I53" s="26" t="s">
        <v>68</v>
      </c>
      <c r="J53" s="26" t="s">
        <v>69</v>
      </c>
      <c r="K53" s="26">
        <v>713</v>
      </c>
      <c r="L53" s="26" t="s">
        <v>70</v>
      </c>
      <c r="M53" s="26">
        <v>713</v>
      </c>
      <c r="N53" s="26" t="s">
        <v>71</v>
      </c>
      <c r="O53" s="26" t="s">
        <v>72</v>
      </c>
      <c r="P53" s="26">
        <v>45</v>
      </c>
      <c r="Q53" s="27">
        <v>11678</v>
      </c>
      <c r="R53" s="26">
        <v>0</v>
      </c>
      <c r="S53" s="26" t="s">
        <v>163</v>
      </c>
      <c r="T53" s="26" t="s">
        <v>83</v>
      </c>
      <c r="U53" s="26" t="str">
        <f t="shared" si="8"/>
        <v>PR</v>
      </c>
      <c r="V53" s="26">
        <f t="shared" si="0"/>
        <v>26</v>
      </c>
      <c r="W53" s="26" t="s">
        <v>90</v>
      </c>
      <c r="X53" s="26">
        <v>20</v>
      </c>
      <c r="Y53" s="26" t="s">
        <v>74</v>
      </c>
      <c r="Z53" s="26" t="s">
        <v>75</v>
      </c>
      <c r="AA53" s="28">
        <f t="shared" si="20"/>
        <v>0.60299999999999998</v>
      </c>
      <c r="AB53" s="28">
        <f t="shared" si="21"/>
        <v>15.723000000000001</v>
      </c>
      <c r="AC53" s="28">
        <f t="shared" si="22"/>
        <v>15.686</v>
      </c>
      <c r="AD53" s="28">
        <f t="shared" si="17"/>
        <v>0</v>
      </c>
      <c r="AE53" s="28">
        <f t="shared" si="23"/>
        <v>0.64</v>
      </c>
      <c r="AF53" s="28">
        <f t="shared" si="19"/>
        <v>1857.11</v>
      </c>
      <c r="AG53" s="28">
        <f t="shared" si="3"/>
        <v>3.14</v>
      </c>
      <c r="AH53" s="28">
        <f t="shared" si="4"/>
        <v>283.32499999999999</v>
      </c>
      <c r="AI53" s="28">
        <f t="shared" si="5"/>
        <v>0</v>
      </c>
      <c r="AJ53" s="28">
        <f t="shared" si="16"/>
        <v>1570.645</v>
      </c>
      <c r="AK53" s="30">
        <f>'Report Inputs'!$F$2</f>
        <v>55.9</v>
      </c>
      <c r="AL53" s="28">
        <f>'Report Inputs'!$E$2</f>
        <v>1080</v>
      </c>
      <c r="AM53" s="28">
        <f t="shared" si="24"/>
        <v>199.07400000000001</v>
      </c>
      <c r="AN53" s="26" t="s">
        <v>744</v>
      </c>
      <c r="AS53" s="26" t="s">
        <v>76</v>
      </c>
      <c r="AT53" s="26" t="s">
        <v>77</v>
      </c>
      <c r="AU53" s="26" t="s">
        <v>78</v>
      </c>
      <c r="AV53" s="31">
        <f t="shared" ca="1" si="7"/>
        <v>42376.365370717591</v>
      </c>
    </row>
    <row r="54" spans="1:48">
      <c r="A54" s="26">
        <v>7</v>
      </c>
      <c r="B54" s="26">
        <f>MONTH('Report Inputs'!$B$2)</f>
        <v>11</v>
      </c>
      <c r="C54" s="26">
        <f>YEAR('Report Inputs'!$B$2)</f>
        <v>2015</v>
      </c>
      <c r="D54" s="26">
        <v>66571</v>
      </c>
      <c r="F54" s="26" t="s">
        <v>65</v>
      </c>
      <c r="G54" s="26" t="s">
        <v>66</v>
      </c>
      <c r="H54" s="26" t="s">
        <v>67</v>
      </c>
      <c r="I54" s="26" t="s">
        <v>68</v>
      </c>
      <c r="J54" s="26" t="s">
        <v>69</v>
      </c>
      <c r="K54" s="26">
        <v>713</v>
      </c>
      <c r="L54" s="26" t="s">
        <v>70</v>
      </c>
      <c r="M54" s="26">
        <v>713</v>
      </c>
      <c r="N54" s="26" t="s">
        <v>71</v>
      </c>
      <c r="O54" s="26" t="s">
        <v>72</v>
      </c>
      <c r="P54" s="26">
        <v>45</v>
      </c>
      <c r="Q54" s="27">
        <v>11686</v>
      </c>
      <c r="R54" s="26">
        <v>0</v>
      </c>
      <c r="S54" s="26" t="s">
        <v>161</v>
      </c>
      <c r="T54" s="26" t="s">
        <v>83</v>
      </c>
      <c r="U54" s="26" t="str">
        <f t="shared" si="8"/>
        <v>PR</v>
      </c>
      <c r="V54" s="26">
        <f t="shared" si="0"/>
        <v>30</v>
      </c>
      <c r="W54" s="26" t="s">
        <v>90</v>
      </c>
      <c r="X54" s="26">
        <v>20</v>
      </c>
      <c r="Y54" s="26" t="s">
        <v>74</v>
      </c>
      <c r="Z54" s="26" t="s">
        <v>75</v>
      </c>
      <c r="AA54" s="28">
        <f t="shared" si="20"/>
        <v>0.55400000000000005</v>
      </c>
      <c r="AB54" s="28">
        <f t="shared" si="21"/>
        <v>16.443999999999999</v>
      </c>
      <c r="AC54" s="28">
        <f t="shared" si="22"/>
        <v>16.329000000000001</v>
      </c>
      <c r="AD54" s="28">
        <f t="shared" si="17"/>
        <v>0</v>
      </c>
      <c r="AE54" s="28">
        <f t="shared" si="23"/>
        <v>0.66900000000000004</v>
      </c>
      <c r="AF54" s="28">
        <f t="shared" si="19"/>
        <v>1932.55</v>
      </c>
      <c r="AG54" s="28">
        <f t="shared" si="3"/>
        <v>3.28</v>
      </c>
      <c r="AH54" s="28">
        <f t="shared" si="4"/>
        <v>286.59300000000002</v>
      </c>
      <c r="AI54" s="28">
        <f t="shared" si="5"/>
        <v>0</v>
      </c>
      <c r="AJ54" s="28">
        <f t="shared" si="16"/>
        <v>1642.6769999999999</v>
      </c>
      <c r="AK54" s="30">
        <f>'Report Inputs'!$F$2</f>
        <v>55.9</v>
      </c>
      <c r="AL54" s="28">
        <f>'Report Inputs'!$E$2</f>
        <v>1080</v>
      </c>
      <c r="AM54" s="28">
        <f t="shared" si="24"/>
        <v>208.20500000000001</v>
      </c>
      <c r="AN54" s="26" t="s">
        <v>744</v>
      </c>
      <c r="AS54" s="26" t="s">
        <v>76</v>
      </c>
      <c r="AT54" s="26" t="s">
        <v>77</v>
      </c>
      <c r="AU54" s="26" t="s">
        <v>78</v>
      </c>
      <c r="AV54" s="31">
        <f t="shared" ca="1" si="7"/>
        <v>42376.365370717591</v>
      </c>
    </row>
    <row r="55" spans="1:48">
      <c r="A55" s="26">
        <v>7</v>
      </c>
      <c r="B55" s="26">
        <f>MONTH('Report Inputs'!$B$2)</f>
        <v>11</v>
      </c>
      <c r="C55" s="26">
        <f>YEAR('Report Inputs'!$B$2)</f>
        <v>2015</v>
      </c>
      <c r="D55" s="26">
        <v>66571</v>
      </c>
      <c r="F55" s="26" t="s">
        <v>65</v>
      </c>
      <c r="G55" s="26" t="s">
        <v>66</v>
      </c>
      <c r="H55" s="26" t="s">
        <v>67</v>
      </c>
      <c r="I55" s="26" t="s">
        <v>68</v>
      </c>
      <c r="J55" s="26" t="s">
        <v>69</v>
      </c>
      <c r="K55" s="26">
        <v>713</v>
      </c>
      <c r="L55" s="26" t="s">
        <v>70</v>
      </c>
      <c r="M55" s="26">
        <v>713</v>
      </c>
      <c r="N55" s="26" t="s">
        <v>71</v>
      </c>
      <c r="O55" s="26" t="s">
        <v>72</v>
      </c>
      <c r="P55" s="26">
        <v>45</v>
      </c>
      <c r="Q55" s="27">
        <v>11766</v>
      </c>
      <c r="R55" s="26">
        <v>0</v>
      </c>
      <c r="S55" s="26" t="s">
        <v>191</v>
      </c>
      <c r="T55" s="26" t="s">
        <v>83</v>
      </c>
      <c r="U55" s="26" t="str">
        <f t="shared" si="8"/>
        <v>PR</v>
      </c>
      <c r="V55" s="26">
        <f t="shared" si="0"/>
        <v>30</v>
      </c>
      <c r="W55" s="26" t="s">
        <v>117</v>
      </c>
      <c r="X55" s="26">
        <v>32</v>
      </c>
      <c r="Y55" s="26" t="s">
        <v>74</v>
      </c>
      <c r="Z55" s="26" t="s">
        <v>75</v>
      </c>
      <c r="AA55" s="28">
        <f t="shared" si="20"/>
        <v>0.29099999999999998</v>
      </c>
      <c r="AB55" s="28">
        <f t="shared" si="21"/>
        <v>2.1890000000000001</v>
      </c>
      <c r="AC55" s="28">
        <f t="shared" si="22"/>
        <v>2.323</v>
      </c>
      <c r="AD55" s="28">
        <f t="shared" si="17"/>
        <v>0</v>
      </c>
      <c r="AE55" s="28">
        <f t="shared" si="23"/>
        <v>0.157</v>
      </c>
      <c r="AF55" s="28">
        <f t="shared" si="19"/>
        <v>1734.25</v>
      </c>
      <c r="AG55" s="28">
        <f t="shared" si="3"/>
        <v>0.39</v>
      </c>
      <c r="AH55" s="28">
        <f t="shared" si="4"/>
        <v>240.22200000000001</v>
      </c>
      <c r="AI55" s="28">
        <f t="shared" si="5"/>
        <v>0</v>
      </c>
      <c r="AJ55" s="28">
        <f t="shared" si="16"/>
        <v>1493.6379999999999</v>
      </c>
      <c r="AK55" s="30">
        <f>'Report Inputs'!$F$2</f>
        <v>55.9</v>
      </c>
      <c r="AL55" s="28">
        <f>'Report Inputs'!$E$2</f>
        <v>1080</v>
      </c>
      <c r="AM55" s="28">
        <f t="shared" si="24"/>
        <v>78.926000000000002</v>
      </c>
      <c r="AN55" s="26" t="s">
        <v>744</v>
      </c>
      <c r="AS55" s="26" t="s">
        <v>76</v>
      </c>
      <c r="AT55" s="26" t="s">
        <v>77</v>
      </c>
      <c r="AU55" s="26" t="s">
        <v>78</v>
      </c>
      <c r="AV55" s="31">
        <f t="shared" ca="1" si="7"/>
        <v>42376.365370717591</v>
      </c>
    </row>
    <row r="56" spans="1:48">
      <c r="A56" s="26">
        <v>7</v>
      </c>
      <c r="B56" s="26">
        <f>MONTH('Report Inputs'!$B$2)</f>
        <v>11</v>
      </c>
      <c r="C56" s="26">
        <f>YEAR('Report Inputs'!$B$2)</f>
        <v>2015</v>
      </c>
      <c r="D56" s="26">
        <v>66571</v>
      </c>
      <c r="F56" s="26" t="s">
        <v>65</v>
      </c>
      <c r="G56" s="26" t="s">
        <v>66</v>
      </c>
      <c r="H56" s="26" t="s">
        <v>67</v>
      </c>
      <c r="I56" s="26" t="s">
        <v>68</v>
      </c>
      <c r="J56" s="26" t="s">
        <v>69</v>
      </c>
      <c r="K56" s="26">
        <v>713</v>
      </c>
      <c r="L56" s="26" t="s">
        <v>70</v>
      </c>
      <c r="M56" s="26">
        <v>713</v>
      </c>
      <c r="N56" s="26" t="s">
        <v>71</v>
      </c>
      <c r="O56" s="26" t="s">
        <v>72</v>
      </c>
      <c r="P56" s="26">
        <v>45</v>
      </c>
      <c r="Q56" s="27">
        <v>11767</v>
      </c>
      <c r="R56" s="26">
        <v>0</v>
      </c>
      <c r="S56" s="26" t="s">
        <v>185</v>
      </c>
      <c r="T56" s="26" t="s">
        <v>83</v>
      </c>
      <c r="U56" s="26" t="str">
        <f t="shared" si="8"/>
        <v>PR</v>
      </c>
      <c r="V56" s="26">
        <f t="shared" si="0"/>
        <v>30</v>
      </c>
      <c r="W56" s="26" t="s">
        <v>117</v>
      </c>
      <c r="X56" s="26">
        <v>32</v>
      </c>
      <c r="Y56" s="26" t="s">
        <v>74</v>
      </c>
      <c r="Z56" s="26" t="s">
        <v>75</v>
      </c>
      <c r="AA56" s="28">
        <f t="shared" si="20"/>
        <v>0.25</v>
      </c>
      <c r="AB56" s="28">
        <f t="shared" si="21"/>
        <v>1.913</v>
      </c>
      <c r="AC56" s="28">
        <f t="shared" si="22"/>
        <v>2.0249999999999999</v>
      </c>
      <c r="AD56" s="28">
        <f t="shared" si="17"/>
        <v>0</v>
      </c>
      <c r="AE56" s="28">
        <f t="shared" si="23"/>
        <v>0.13800000000000001</v>
      </c>
      <c r="AF56" s="28">
        <f t="shared" si="19"/>
        <v>1533.71</v>
      </c>
      <c r="AG56" s="28">
        <f t="shared" si="3"/>
        <v>0.34</v>
      </c>
      <c r="AH56" s="28">
        <f t="shared" si="4"/>
        <v>228.756</v>
      </c>
      <c r="AI56" s="28">
        <f t="shared" si="5"/>
        <v>0</v>
      </c>
      <c r="AJ56" s="28">
        <f t="shared" si="16"/>
        <v>1304.614</v>
      </c>
      <c r="AK56" s="30">
        <f>'Report Inputs'!$F$2</f>
        <v>55.9</v>
      </c>
      <c r="AL56" s="28">
        <f>'Report Inputs'!$E$2</f>
        <v>1080</v>
      </c>
      <c r="AM56" s="28">
        <f t="shared" si="24"/>
        <v>68.938000000000002</v>
      </c>
      <c r="AN56" s="26" t="s">
        <v>744</v>
      </c>
      <c r="AS56" s="26" t="s">
        <v>76</v>
      </c>
      <c r="AT56" s="26" t="s">
        <v>77</v>
      </c>
      <c r="AU56" s="26" t="s">
        <v>78</v>
      </c>
      <c r="AV56" s="31">
        <f t="shared" ca="1" si="7"/>
        <v>42376.365370717591</v>
      </c>
    </row>
    <row r="57" spans="1:48">
      <c r="A57" s="26">
        <v>7</v>
      </c>
      <c r="B57" s="26">
        <f>MONTH('Report Inputs'!$B$2)</f>
        <v>11</v>
      </c>
      <c r="C57" s="26">
        <f>YEAR('Report Inputs'!$B$2)</f>
        <v>2015</v>
      </c>
      <c r="D57" s="26">
        <v>66571</v>
      </c>
      <c r="F57" s="26" t="s">
        <v>65</v>
      </c>
      <c r="G57" s="26" t="s">
        <v>66</v>
      </c>
      <c r="H57" s="26" t="s">
        <v>67</v>
      </c>
      <c r="I57" s="26" t="s">
        <v>68</v>
      </c>
      <c r="J57" s="26" t="s">
        <v>69</v>
      </c>
      <c r="K57" s="26">
        <v>713</v>
      </c>
      <c r="L57" s="26" t="s">
        <v>70</v>
      </c>
      <c r="M57" s="26">
        <v>713</v>
      </c>
      <c r="N57" s="26" t="s">
        <v>71</v>
      </c>
      <c r="O57" s="26" t="s">
        <v>72</v>
      </c>
      <c r="P57" s="26">
        <v>45</v>
      </c>
      <c r="Q57" s="27">
        <v>11768</v>
      </c>
      <c r="R57" s="26">
        <v>0</v>
      </c>
      <c r="S57" s="26" t="s">
        <v>186</v>
      </c>
      <c r="T57" s="26" t="s">
        <v>80</v>
      </c>
      <c r="U57" s="26" t="str">
        <f t="shared" si="8"/>
        <v>PR</v>
      </c>
      <c r="V57" s="26">
        <f t="shared" si="0"/>
        <v>30</v>
      </c>
      <c r="W57" s="26" t="s">
        <v>117</v>
      </c>
      <c r="X57" s="26">
        <v>32</v>
      </c>
      <c r="Y57" s="26" t="s">
        <v>74</v>
      </c>
      <c r="Z57" s="26" t="s">
        <v>75</v>
      </c>
      <c r="AA57" s="28">
        <f t="shared" si="20"/>
        <v>0.21299999999999999</v>
      </c>
      <c r="AB57" s="28">
        <f t="shared" si="21"/>
        <v>1.619</v>
      </c>
      <c r="AC57" s="28">
        <f t="shared" si="22"/>
        <v>1.7150000000000001</v>
      </c>
      <c r="AD57" s="28">
        <f t="shared" si="17"/>
        <v>0</v>
      </c>
      <c r="AE57" s="28">
        <f t="shared" si="23"/>
        <v>0.11700000000000001</v>
      </c>
      <c r="AF57" s="28">
        <f t="shared" si="19"/>
        <v>1325.36</v>
      </c>
      <c r="AG57" s="28">
        <f t="shared" si="3"/>
        <v>0.28999999999999998</v>
      </c>
      <c r="AH57" s="28">
        <f t="shared" si="4"/>
        <v>219.71700000000001</v>
      </c>
      <c r="AI57" s="28">
        <f t="shared" si="5"/>
        <v>0</v>
      </c>
      <c r="AJ57" s="28">
        <f t="shared" si="16"/>
        <v>1105.3530000000001</v>
      </c>
      <c r="AK57" s="30">
        <f>'Report Inputs'!$F$2</f>
        <v>55.9</v>
      </c>
      <c r="AL57" s="28">
        <f>'Report Inputs'!$E$2</f>
        <v>1080</v>
      </c>
      <c r="AM57" s="28">
        <f t="shared" si="24"/>
        <v>58.408999999999999</v>
      </c>
      <c r="AN57" s="26" t="s">
        <v>744</v>
      </c>
      <c r="AS57" s="26" t="s">
        <v>76</v>
      </c>
      <c r="AT57" s="26" t="s">
        <v>77</v>
      </c>
      <c r="AU57" s="26" t="s">
        <v>78</v>
      </c>
      <c r="AV57" s="31">
        <f t="shared" ca="1" si="7"/>
        <v>42376.365370717591</v>
      </c>
    </row>
    <row r="58" spans="1:48">
      <c r="A58" s="26">
        <v>7</v>
      </c>
      <c r="B58" s="26">
        <f>MONTH('Report Inputs'!$B$2)</f>
        <v>11</v>
      </c>
      <c r="C58" s="26">
        <f>YEAR('Report Inputs'!$B$2)</f>
        <v>2015</v>
      </c>
      <c r="D58" s="26">
        <v>66571</v>
      </c>
      <c r="F58" s="26" t="s">
        <v>65</v>
      </c>
      <c r="G58" s="26" t="s">
        <v>66</v>
      </c>
      <c r="H58" s="26" t="s">
        <v>67</v>
      </c>
      <c r="I58" s="26" t="s">
        <v>68</v>
      </c>
      <c r="J58" s="26" t="s">
        <v>69</v>
      </c>
      <c r="K58" s="26">
        <v>713</v>
      </c>
      <c r="L58" s="26" t="s">
        <v>70</v>
      </c>
      <c r="M58" s="26">
        <v>713</v>
      </c>
      <c r="N58" s="26" t="s">
        <v>71</v>
      </c>
      <c r="O58" s="26" t="s">
        <v>72</v>
      </c>
      <c r="P58" s="26">
        <v>45</v>
      </c>
      <c r="Q58" s="27">
        <v>11769</v>
      </c>
      <c r="R58" s="26">
        <v>0</v>
      </c>
      <c r="S58" s="26" t="s">
        <v>189</v>
      </c>
      <c r="T58" s="26" t="s">
        <v>83</v>
      </c>
      <c r="U58" s="26" t="str">
        <f t="shared" si="8"/>
        <v>PR</v>
      </c>
      <c r="V58" s="26">
        <f t="shared" si="0"/>
        <v>30</v>
      </c>
      <c r="W58" s="26" t="s">
        <v>117</v>
      </c>
      <c r="X58" s="26">
        <v>32</v>
      </c>
      <c r="Y58" s="26" t="s">
        <v>74</v>
      </c>
      <c r="Z58" s="26" t="s">
        <v>75</v>
      </c>
      <c r="AA58" s="28">
        <f t="shared" si="20"/>
        <v>0.189</v>
      </c>
      <c r="AB58" s="28">
        <f t="shared" si="21"/>
        <v>1.4259999999999999</v>
      </c>
      <c r="AC58" s="28">
        <f t="shared" si="22"/>
        <v>1.5129999999999999</v>
      </c>
      <c r="AD58" s="28">
        <f t="shared" si="17"/>
        <v>1</v>
      </c>
      <c r="AE58" s="28">
        <f t="shared" si="23"/>
        <v>0.10199999999999999</v>
      </c>
      <c r="AF58" s="28">
        <f t="shared" si="19"/>
        <v>1229.72</v>
      </c>
      <c r="AG58" s="28">
        <f t="shared" si="3"/>
        <v>0.25</v>
      </c>
      <c r="AH58" s="28">
        <f t="shared" si="4"/>
        <v>256.22300000000001</v>
      </c>
      <c r="AI58" s="28">
        <f t="shared" si="5"/>
        <v>1</v>
      </c>
      <c r="AJ58" s="28">
        <f t="shared" si="16"/>
        <v>973.24699999999996</v>
      </c>
      <c r="AK58" s="30">
        <f>'Report Inputs'!$F$2</f>
        <v>55.9</v>
      </c>
      <c r="AL58" s="28">
        <f>'Report Inputs'!$E$2</f>
        <v>1080</v>
      </c>
      <c r="AM58" s="28">
        <f t="shared" si="24"/>
        <v>51.427999999999997</v>
      </c>
      <c r="AN58" s="26" t="s">
        <v>744</v>
      </c>
      <c r="AS58" s="26" t="s">
        <v>76</v>
      </c>
      <c r="AT58" s="26" t="s">
        <v>77</v>
      </c>
      <c r="AU58" s="26" t="s">
        <v>78</v>
      </c>
      <c r="AV58" s="31">
        <f t="shared" ca="1" si="7"/>
        <v>42376.365370717591</v>
      </c>
    </row>
    <row r="59" spans="1:48">
      <c r="A59" s="26">
        <v>7</v>
      </c>
      <c r="B59" s="26">
        <f>MONTH('Report Inputs'!$B$2)</f>
        <v>11</v>
      </c>
      <c r="C59" s="26">
        <f>YEAR('Report Inputs'!$B$2)</f>
        <v>2015</v>
      </c>
      <c r="D59" s="26">
        <v>66571</v>
      </c>
      <c r="F59" s="26" t="s">
        <v>65</v>
      </c>
      <c r="G59" s="26" t="s">
        <v>66</v>
      </c>
      <c r="H59" s="26" t="s">
        <v>67</v>
      </c>
      <c r="I59" s="26" t="s">
        <v>68</v>
      </c>
      <c r="J59" s="26" t="s">
        <v>69</v>
      </c>
      <c r="K59" s="26">
        <v>713</v>
      </c>
      <c r="L59" s="26" t="s">
        <v>70</v>
      </c>
      <c r="M59" s="26">
        <v>713</v>
      </c>
      <c r="N59" s="26" t="s">
        <v>71</v>
      </c>
      <c r="O59" s="26" t="s">
        <v>72</v>
      </c>
      <c r="P59" s="26">
        <v>45</v>
      </c>
      <c r="Q59" s="27">
        <v>11770</v>
      </c>
      <c r="R59" s="26">
        <v>0</v>
      </c>
      <c r="S59" s="26" t="s">
        <v>192</v>
      </c>
      <c r="T59" s="26" t="s">
        <v>83</v>
      </c>
      <c r="U59" s="26" t="str">
        <f t="shared" si="8"/>
        <v>PR</v>
      </c>
      <c r="V59" s="26">
        <f t="shared" si="0"/>
        <v>22</v>
      </c>
      <c r="W59" s="26" t="s">
        <v>117</v>
      </c>
      <c r="X59" s="26">
        <v>32</v>
      </c>
      <c r="Y59" s="26" t="s">
        <v>74</v>
      </c>
      <c r="Z59" s="26" t="s">
        <v>75</v>
      </c>
      <c r="AA59" s="28">
        <f t="shared" si="20"/>
        <v>0.214</v>
      </c>
      <c r="AB59" s="28">
        <f t="shared" si="21"/>
        <v>1.6919999999999999</v>
      </c>
      <c r="AC59" s="28">
        <f t="shared" si="22"/>
        <v>1.7849999999999999</v>
      </c>
      <c r="AD59" s="28">
        <f t="shared" si="17"/>
        <v>0</v>
      </c>
      <c r="AE59" s="28">
        <f t="shared" si="23"/>
        <v>0.121</v>
      </c>
      <c r="AF59" s="28">
        <f t="shared" si="19"/>
        <v>1421.98</v>
      </c>
      <c r="AG59" s="28">
        <f t="shared" si="3"/>
        <v>0.3</v>
      </c>
      <c r="AH59" s="28">
        <f t="shared" si="4"/>
        <v>266.77499999999998</v>
      </c>
      <c r="AI59" s="28">
        <f t="shared" si="5"/>
        <v>0</v>
      </c>
      <c r="AJ59" s="28">
        <f t="shared" si="16"/>
        <v>1154.905</v>
      </c>
      <c r="AK59" s="30">
        <f>'Report Inputs'!$F$2</f>
        <v>55.9</v>
      </c>
      <c r="AL59" s="28">
        <f>'Report Inputs'!$E$2</f>
        <v>1080</v>
      </c>
      <c r="AM59" s="28">
        <f t="shared" si="24"/>
        <v>61.026000000000003</v>
      </c>
      <c r="AN59" s="26" t="s">
        <v>744</v>
      </c>
      <c r="AS59" s="26" t="s">
        <v>76</v>
      </c>
      <c r="AT59" s="26" t="s">
        <v>77</v>
      </c>
      <c r="AU59" s="26" t="s">
        <v>78</v>
      </c>
      <c r="AV59" s="31">
        <f t="shared" ca="1" si="7"/>
        <v>42376.365370717591</v>
      </c>
    </row>
    <row r="60" spans="1:48">
      <c r="A60" s="26">
        <v>7</v>
      </c>
      <c r="B60" s="26">
        <f>MONTH('Report Inputs'!$B$2)</f>
        <v>11</v>
      </c>
      <c r="C60" s="26">
        <f>YEAR('Report Inputs'!$B$2)</f>
        <v>2015</v>
      </c>
      <c r="D60" s="26">
        <v>66571</v>
      </c>
      <c r="F60" s="26" t="s">
        <v>65</v>
      </c>
      <c r="G60" s="26" t="s">
        <v>66</v>
      </c>
      <c r="H60" s="26" t="s">
        <v>67</v>
      </c>
      <c r="I60" s="26" t="s">
        <v>68</v>
      </c>
      <c r="J60" s="26" t="s">
        <v>69</v>
      </c>
      <c r="K60" s="26">
        <v>713</v>
      </c>
      <c r="L60" s="26" t="s">
        <v>70</v>
      </c>
      <c r="M60" s="26">
        <v>713</v>
      </c>
      <c r="N60" s="26" t="s">
        <v>71</v>
      </c>
      <c r="O60" s="26" t="s">
        <v>72</v>
      </c>
      <c r="P60" s="26">
        <v>45</v>
      </c>
      <c r="Q60" s="27">
        <v>11807</v>
      </c>
      <c r="R60" s="26">
        <v>0</v>
      </c>
      <c r="S60" s="26" t="s">
        <v>164</v>
      </c>
      <c r="T60" s="26" t="s">
        <v>80</v>
      </c>
      <c r="U60" s="26" t="str">
        <f t="shared" si="8"/>
        <v>PR</v>
      </c>
      <c r="V60" s="26">
        <f t="shared" si="0"/>
        <v>30</v>
      </c>
      <c r="W60" s="26" t="s">
        <v>84</v>
      </c>
      <c r="X60" s="26">
        <v>20</v>
      </c>
      <c r="Y60" s="26" t="s">
        <v>74</v>
      </c>
      <c r="Z60" s="26" t="s">
        <v>75</v>
      </c>
      <c r="AA60" s="28">
        <f t="shared" si="20"/>
        <v>1.47</v>
      </c>
      <c r="AB60" s="28">
        <f t="shared" si="21"/>
        <v>41.537999999999997</v>
      </c>
      <c r="AC60" s="28">
        <f t="shared" si="22"/>
        <v>41.412999999999997</v>
      </c>
      <c r="AD60" s="28">
        <f t="shared" si="17"/>
        <v>0</v>
      </c>
      <c r="AE60" s="28">
        <f t="shared" si="23"/>
        <v>1.595</v>
      </c>
      <c r="AF60" s="28">
        <f t="shared" si="19"/>
        <v>2654.52</v>
      </c>
      <c r="AG60" s="28">
        <f t="shared" si="3"/>
        <v>8.35</v>
      </c>
      <c r="AH60" s="28">
        <f t="shared" si="4"/>
        <v>317.70499999999998</v>
      </c>
      <c r="AI60" s="28">
        <f t="shared" si="5"/>
        <v>1</v>
      </c>
      <c r="AJ60" s="28">
        <f t="shared" si="16"/>
        <v>2328.4650000000001</v>
      </c>
      <c r="AK60" s="30">
        <f>'Report Inputs'!$F$2</f>
        <v>55.9</v>
      </c>
      <c r="AL60" s="28">
        <f>'Report Inputs'!$E$2</f>
        <v>1080</v>
      </c>
      <c r="AM60" s="28">
        <f t="shared" si="24"/>
        <v>97.251999999999995</v>
      </c>
      <c r="AN60" s="26" t="s">
        <v>744</v>
      </c>
      <c r="AS60" s="26" t="s">
        <v>76</v>
      </c>
      <c r="AT60" s="26" t="s">
        <v>77</v>
      </c>
      <c r="AU60" s="26" t="s">
        <v>78</v>
      </c>
      <c r="AV60" s="31">
        <f t="shared" ca="1" si="7"/>
        <v>42376.365370717591</v>
      </c>
    </row>
    <row r="61" spans="1:48">
      <c r="A61" s="26">
        <v>7</v>
      </c>
      <c r="B61" s="26">
        <f>MONTH('Report Inputs'!$B$2)</f>
        <v>11</v>
      </c>
      <c r="C61" s="26">
        <f>YEAR('Report Inputs'!$B$2)</f>
        <v>2015</v>
      </c>
      <c r="D61" s="26">
        <v>66571</v>
      </c>
      <c r="F61" s="26" t="s">
        <v>65</v>
      </c>
      <c r="G61" s="26" t="s">
        <v>66</v>
      </c>
      <c r="H61" s="26" t="s">
        <v>67</v>
      </c>
      <c r="I61" s="26" t="s">
        <v>68</v>
      </c>
      <c r="J61" s="26" t="s">
        <v>69</v>
      </c>
      <c r="K61" s="26">
        <v>713</v>
      </c>
      <c r="L61" s="26" t="s">
        <v>70</v>
      </c>
      <c r="M61" s="26">
        <v>713</v>
      </c>
      <c r="N61" s="26" t="s">
        <v>71</v>
      </c>
      <c r="O61" s="26" t="s">
        <v>72</v>
      </c>
      <c r="P61" s="26">
        <v>45</v>
      </c>
      <c r="Q61" s="27">
        <v>11808</v>
      </c>
      <c r="R61" s="26">
        <v>0</v>
      </c>
      <c r="S61" s="26" t="s">
        <v>159</v>
      </c>
      <c r="T61" s="26" t="s">
        <v>83</v>
      </c>
      <c r="U61" s="26" t="str">
        <f t="shared" si="8"/>
        <v>PR</v>
      </c>
      <c r="V61" s="26">
        <f t="shared" si="0"/>
        <v>30</v>
      </c>
      <c r="W61" s="26" t="s">
        <v>84</v>
      </c>
      <c r="X61" s="26">
        <v>20</v>
      </c>
      <c r="Y61" s="26" t="s">
        <v>74</v>
      </c>
      <c r="Z61" s="26" t="s">
        <v>75</v>
      </c>
      <c r="AA61" s="28">
        <f t="shared" si="20"/>
        <v>1.7210000000000001</v>
      </c>
      <c r="AB61" s="28">
        <f t="shared" si="21"/>
        <v>48.234999999999999</v>
      </c>
      <c r="AC61" s="28">
        <f t="shared" si="22"/>
        <v>48.103000000000002</v>
      </c>
      <c r="AD61" s="28">
        <f t="shared" si="17"/>
        <v>0</v>
      </c>
      <c r="AE61" s="28">
        <f t="shared" si="23"/>
        <v>1.853</v>
      </c>
      <c r="AF61" s="28">
        <f t="shared" si="19"/>
        <v>3048.17</v>
      </c>
      <c r="AG61" s="28">
        <f t="shared" si="3"/>
        <v>9.6999999999999993</v>
      </c>
      <c r="AH61" s="28">
        <f t="shared" si="4"/>
        <v>334.73099999999999</v>
      </c>
      <c r="AI61" s="28">
        <f t="shared" si="5"/>
        <v>-1</v>
      </c>
      <c r="AJ61" s="28">
        <f t="shared" si="16"/>
        <v>2703.739</v>
      </c>
      <c r="AK61" s="30">
        <f>'Report Inputs'!$F$2</f>
        <v>55.9</v>
      </c>
      <c r="AL61" s="28">
        <f>'Report Inputs'!$E$2</f>
        <v>1080</v>
      </c>
      <c r="AM61" s="28">
        <f t="shared" si="24"/>
        <v>112.926</v>
      </c>
      <c r="AN61" s="26" t="s">
        <v>744</v>
      </c>
      <c r="AS61" s="26" t="s">
        <v>76</v>
      </c>
      <c r="AT61" s="26" t="s">
        <v>77</v>
      </c>
      <c r="AU61" s="26" t="s">
        <v>78</v>
      </c>
      <c r="AV61" s="31">
        <f t="shared" ca="1" si="7"/>
        <v>42376.365370717591</v>
      </c>
    </row>
    <row r="62" spans="1:48">
      <c r="A62" s="26">
        <v>7</v>
      </c>
      <c r="B62" s="26">
        <f>MONTH('Report Inputs'!$B$2)</f>
        <v>11</v>
      </c>
      <c r="C62" s="26">
        <f>YEAR('Report Inputs'!$B$2)</f>
        <v>2015</v>
      </c>
      <c r="D62" s="26">
        <v>66571</v>
      </c>
      <c r="F62" s="26" t="s">
        <v>65</v>
      </c>
      <c r="G62" s="26" t="s">
        <v>66</v>
      </c>
      <c r="H62" s="26" t="s">
        <v>67</v>
      </c>
      <c r="I62" s="26" t="s">
        <v>68</v>
      </c>
      <c r="J62" s="26" t="s">
        <v>69</v>
      </c>
      <c r="K62" s="26">
        <v>713</v>
      </c>
      <c r="L62" s="26" t="s">
        <v>70</v>
      </c>
      <c r="M62" s="26">
        <v>713</v>
      </c>
      <c r="N62" s="26" t="s">
        <v>71</v>
      </c>
      <c r="O62" s="26" t="s">
        <v>72</v>
      </c>
      <c r="P62" s="26">
        <v>45</v>
      </c>
      <c r="Q62" s="27">
        <v>11809</v>
      </c>
      <c r="R62" s="26">
        <v>0</v>
      </c>
      <c r="S62" s="26" t="s">
        <v>184</v>
      </c>
      <c r="T62" s="26" t="s">
        <v>83</v>
      </c>
      <c r="U62" s="26" t="str">
        <f t="shared" si="8"/>
        <v>PR</v>
      </c>
      <c r="V62" s="26">
        <f t="shared" si="0"/>
        <v>29</v>
      </c>
      <c r="W62" s="26" t="s">
        <v>92</v>
      </c>
      <c r="X62" s="26">
        <v>29</v>
      </c>
      <c r="Y62" s="26" t="s">
        <v>74</v>
      </c>
      <c r="Z62" s="26" t="s">
        <v>75</v>
      </c>
      <c r="AA62" s="28">
        <f t="shared" si="20"/>
        <v>0.22900000000000001</v>
      </c>
      <c r="AB62" s="28">
        <f t="shared" si="21"/>
        <v>4.8760000000000003</v>
      </c>
      <c r="AC62" s="28">
        <f t="shared" si="22"/>
        <v>4.8559999999999999</v>
      </c>
      <c r="AD62" s="28">
        <f t="shared" si="17"/>
        <v>0</v>
      </c>
      <c r="AE62" s="28">
        <f t="shared" si="23"/>
        <v>0.249</v>
      </c>
      <c r="AF62" s="28">
        <f t="shared" si="19"/>
        <v>1682.71</v>
      </c>
      <c r="AG62" s="28">
        <f t="shared" si="3"/>
        <v>0.94</v>
      </c>
      <c r="AH62" s="28">
        <f t="shared" si="4"/>
        <v>275.85199999999998</v>
      </c>
      <c r="AI62" s="28">
        <f t="shared" si="5"/>
        <v>0</v>
      </c>
      <c r="AJ62" s="28">
        <f t="shared" si="16"/>
        <v>1405.9179999999999</v>
      </c>
      <c r="AK62" s="30">
        <f>'Report Inputs'!$F$2</f>
        <v>55.9</v>
      </c>
      <c r="AL62" s="28">
        <f>'Report Inputs'!$E$2</f>
        <v>1080</v>
      </c>
      <c r="AM62" s="28">
        <f t="shared" si="24"/>
        <v>145.375</v>
      </c>
      <c r="AN62" s="26" t="s">
        <v>744</v>
      </c>
      <c r="AS62" s="26" t="s">
        <v>76</v>
      </c>
      <c r="AT62" s="26" t="s">
        <v>77</v>
      </c>
      <c r="AU62" s="26" t="s">
        <v>78</v>
      </c>
      <c r="AV62" s="31">
        <f t="shared" ca="1" si="7"/>
        <v>42376.365370717591</v>
      </c>
    </row>
    <row r="63" spans="1:48">
      <c r="A63" s="26">
        <v>7</v>
      </c>
      <c r="B63" s="26">
        <f>MONTH('Report Inputs'!$B$2)</f>
        <v>11</v>
      </c>
      <c r="C63" s="26">
        <f>YEAR('Report Inputs'!$B$2)</f>
        <v>2015</v>
      </c>
      <c r="D63" s="26">
        <v>66571</v>
      </c>
      <c r="F63" s="26" t="s">
        <v>65</v>
      </c>
      <c r="G63" s="26" t="s">
        <v>66</v>
      </c>
      <c r="H63" s="26" t="s">
        <v>67</v>
      </c>
      <c r="I63" s="26" t="s">
        <v>68</v>
      </c>
      <c r="J63" s="26" t="s">
        <v>69</v>
      </c>
      <c r="K63" s="26">
        <v>713</v>
      </c>
      <c r="L63" s="26" t="s">
        <v>70</v>
      </c>
      <c r="M63" s="26">
        <v>713</v>
      </c>
      <c r="N63" s="26" t="s">
        <v>71</v>
      </c>
      <c r="O63" s="26" t="s">
        <v>72</v>
      </c>
      <c r="P63" s="26">
        <v>45</v>
      </c>
      <c r="Q63" s="27">
        <v>11810</v>
      </c>
      <c r="R63" s="26">
        <v>0</v>
      </c>
      <c r="S63" s="26" t="s">
        <v>180</v>
      </c>
      <c r="T63" s="26" t="s">
        <v>80</v>
      </c>
      <c r="U63" s="26" t="str">
        <f t="shared" si="8"/>
        <v>PR</v>
      </c>
      <c r="V63" s="26">
        <v>3</v>
      </c>
      <c r="W63" s="26" t="s">
        <v>92</v>
      </c>
      <c r="X63" s="26">
        <v>29</v>
      </c>
      <c r="Y63" s="26" t="s">
        <v>74</v>
      </c>
      <c r="Z63" s="26" t="s">
        <v>75</v>
      </c>
      <c r="AA63" s="28">
        <f t="shared" si="20"/>
        <v>0.20100000000000001</v>
      </c>
      <c r="AB63" s="28">
        <f t="shared" si="21"/>
        <v>3.9809999999999999</v>
      </c>
      <c r="AC63" s="28">
        <f t="shared" si="22"/>
        <v>3.9790000000000001</v>
      </c>
      <c r="AD63" s="28">
        <f t="shared" ref="AD63:AD94" si="26">ROUND(AC63,0)+ROUND(AE63,0)-ROUND(AA63,0)-ROUND(AB63,0)</f>
        <v>0</v>
      </c>
      <c r="AE63" s="28">
        <f t="shared" si="23"/>
        <v>0.20300000000000001</v>
      </c>
      <c r="AF63" s="28">
        <f t="shared" si="19"/>
        <v>1412.84</v>
      </c>
      <c r="AG63" s="28">
        <f t="shared" si="3"/>
        <v>0.77</v>
      </c>
      <c r="AH63" s="28">
        <f t="shared" si="4"/>
        <v>264.14800000000002</v>
      </c>
      <c r="AI63" s="28">
        <f t="shared" si="5"/>
        <v>0</v>
      </c>
      <c r="AJ63" s="28">
        <f t="shared" si="16"/>
        <v>1147.922</v>
      </c>
      <c r="AK63" s="30">
        <f>'Report Inputs'!$F$2</f>
        <v>55.9</v>
      </c>
      <c r="AL63" s="28">
        <f>'Report Inputs'!$E$2</f>
        <v>1080</v>
      </c>
      <c r="AM63" s="28">
        <f t="shared" si="24"/>
        <v>118.697</v>
      </c>
      <c r="AN63" s="26" t="s">
        <v>744</v>
      </c>
      <c r="AS63" s="26" t="s">
        <v>76</v>
      </c>
      <c r="AT63" s="26" t="s">
        <v>77</v>
      </c>
      <c r="AU63" s="26" t="s">
        <v>78</v>
      </c>
      <c r="AV63" s="31">
        <f t="shared" ref="AV63:AV126" ca="1" si="27">NOW()</f>
        <v>42376.365370717591</v>
      </c>
    </row>
    <row r="64" spans="1:48">
      <c r="A64" s="26">
        <v>7</v>
      </c>
      <c r="B64" s="26">
        <f>MONTH('Report Inputs'!$B$2)</f>
        <v>11</v>
      </c>
      <c r="C64" s="26">
        <f>YEAR('Report Inputs'!$B$2)</f>
        <v>2015</v>
      </c>
      <c r="D64" s="26">
        <v>66571</v>
      </c>
      <c r="F64" s="26" t="s">
        <v>65</v>
      </c>
      <c r="G64" s="26" t="s">
        <v>66</v>
      </c>
      <c r="H64" s="26" t="s">
        <v>67</v>
      </c>
      <c r="I64" s="26" t="s">
        <v>68</v>
      </c>
      <c r="J64" s="26" t="s">
        <v>69</v>
      </c>
      <c r="K64" s="26">
        <v>713</v>
      </c>
      <c r="L64" s="26" t="s">
        <v>70</v>
      </c>
      <c r="M64" s="26">
        <v>713</v>
      </c>
      <c r="N64" s="26" t="s">
        <v>71</v>
      </c>
      <c r="O64" s="26" t="s">
        <v>72</v>
      </c>
      <c r="P64" s="26">
        <v>45</v>
      </c>
      <c r="Q64" s="27">
        <v>11811</v>
      </c>
      <c r="R64" s="26">
        <v>0</v>
      </c>
      <c r="S64" s="26" t="s">
        <v>178</v>
      </c>
      <c r="T64" s="26" t="s">
        <v>83</v>
      </c>
      <c r="U64" s="26" t="str">
        <f t="shared" si="8"/>
        <v>SI</v>
      </c>
      <c r="V64" s="26">
        <f t="shared" si="0"/>
        <v>0</v>
      </c>
      <c r="W64" s="26" t="s">
        <v>92</v>
      </c>
      <c r="X64" s="26">
        <v>29</v>
      </c>
      <c r="Y64" s="26" t="s">
        <v>74</v>
      </c>
      <c r="Z64" s="26" t="s">
        <v>75</v>
      </c>
      <c r="AA64" s="28">
        <f t="shared" si="20"/>
        <v>7.0000000000000001E-3</v>
      </c>
      <c r="AB64" s="28">
        <f t="shared" si="21"/>
        <v>0</v>
      </c>
      <c r="AC64" s="28">
        <f t="shared" si="22"/>
        <v>7.0000000000000001E-3</v>
      </c>
      <c r="AD64" s="28">
        <f t="shared" si="26"/>
        <v>0</v>
      </c>
      <c r="AE64" s="28">
        <f t="shared" si="23"/>
        <v>0</v>
      </c>
      <c r="AF64" s="28">
        <f t="shared" ref="AF64:AF86" si="28">IF(ISNA(VLOOKUP($Q64,data,9,FALSE)),0,VLOOKUP($Q64,data,9,FALSE))</f>
        <v>0</v>
      </c>
      <c r="AG64" s="28">
        <f t="shared" si="3"/>
        <v>0</v>
      </c>
      <c r="AH64" s="28">
        <f t="shared" si="4"/>
        <v>0</v>
      </c>
      <c r="AI64" s="28">
        <f t="shared" si="5"/>
        <v>0</v>
      </c>
      <c r="AJ64" s="28">
        <f t="shared" si="16"/>
        <v>0</v>
      </c>
      <c r="AM64" s="28">
        <f t="shared" si="24"/>
        <v>0</v>
      </c>
      <c r="AN64" s="26" t="s">
        <v>744</v>
      </c>
      <c r="AS64" s="26" t="s">
        <v>76</v>
      </c>
      <c r="AT64" s="26" t="s">
        <v>77</v>
      </c>
      <c r="AU64" s="26" t="s">
        <v>78</v>
      </c>
      <c r="AV64" s="31">
        <f t="shared" ca="1" si="27"/>
        <v>42376.365370717591</v>
      </c>
    </row>
    <row r="65" spans="1:48">
      <c r="A65" s="26">
        <v>7</v>
      </c>
      <c r="B65" s="26">
        <f>MONTH('Report Inputs'!$B$2)</f>
        <v>11</v>
      </c>
      <c r="C65" s="26">
        <f>YEAR('Report Inputs'!$B$2)</f>
        <v>2015</v>
      </c>
      <c r="D65" s="26">
        <v>66571</v>
      </c>
      <c r="F65" s="26" t="s">
        <v>65</v>
      </c>
      <c r="G65" s="26" t="s">
        <v>66</v>
      </c>
      <c r="H65" s="26" t="s">
        <v>67</v>
      </c>
      <c r="I65" s="26" t="s">
        <v>68</v>
      </c>
      <c r="J65" s="26" t="s">
        <v>69</v>
      </c>
      <c r="K65" s="26">
        <v>713</v>
      </c>
      <c r="L65" s="26" t="s">
        <v>70</v>
      </c>
      <c r="M65" s="26">
        <v>713</v>
      </c>
      <c r="N65" s="26" t="s">
        <v>71</v>
      </c>
      <c r="O65" s="26" t="s">
        <v>72</v>
      </c>
      <c r="P65" s="26">
        <v>45</v>
      </c>
      <c r="Q65" s="27">
        <v>11812</v>
      </c>
      <c r="R65" s="26">
        <v>0</v>
      </c>
      <c r="S65" s="26" t="s">
        <v>183</v>
      </c>
      <c r="T65" s="26" t="s">
        <v>662</v>
      </c>
      <c r="U65" s="26" t="str">
        <f t="shared" si="8"/>
        <v>PR</v>
      </c>
      <c r="V65" s="26">
        <v>24</v>
      </c>
      <c r="W65" s="26" t="s">
        <v>92</v>
      </c>
      <c r="X65" s="26">
        <v>29</v>
      </c>
      <c r="Y65" s="26" t="s">
        <v>74</v>
      </c>
      <c r="Z65" s="26" t="s">
        <v>75</v>
      </c>
      <c r="AA65" s="28">
        <f t="shared" si="20"/>
        <v>0.247</v>
      </c>
      <c r="AB65" s="28">
        <f t="shared" si="21"/>
        <v>4.4249999999999998</v>
      </c>
      <c r="AC65" s="28">
        <f t="shared" si="22"/>
        <v>4.4450000000000003</v>
      </c>
      <c r="AD65" s="28">
        <f t="shared" si="26"/>
        <v>0</v>
      </c>
      <c r="AE65" s="28">
        <f t="shared" si="23"/>
        <v>0.22700000000000001</v>
      </c>
      <c r="AF65" s="28">
        <f t="shared" si="28"/>
        <v>1546.82</v>
      </c>
      <c r="AG65" s="28">
        <f t="shared" si="3"/>
        <v>0.85</v>
      </c>
      <c r="AH65" s="28">
        <f t="shared" si="4"/>
        <v>269.959</v>
      </c>
      <c r="AI65" s="28">
        <f t="shared" ref="AI65:AI128" si="29">ROUND(AF65,0)-ROUND(AG65,0)-ROUND(AH65,0)-ROUND(AJ65,0)</f>
        <v>0</v>
      </c>
      <c r="AJ65" s="28">
        <f t="shared" si="16"/>
        <v>1276.011</v>
      </c>
      <c r="AK65" s="30">
        <f>'Report Inputs'!$F$2</f>
        <v>55.9</v>
      </c>
      <c r="AL65" s="28">
        <f>'Report Inputs'!$E$2</f>
        <v>1080</v>
      </c>
      <c r="AM65" s="28">
        <f t="shared" si="24"/>
        <v>131.941</v>
      </c>
      <c r="AN65" s="26" t="s">
        <v>744</v>
      </c>
      <c r="AS65" s="26" t="s">
        <v>76</v>
      </c>
      <c r="AT65" s="26" t="s">
        <v>77</v>
      </c>
      <c r="AU65" s="26" t="s">
        <v>78</v>
      </c>
      <c r="AV65" s="31">
        <f t="shared" ca="1" si="27"/>
        <v>42376.365370833337</v>
      </c>
    </row>
    <row r="66" spans="1:48">
      <c r="A66" s="26">
        <v>7</v>
      </c>
      <c r="B66" s="26">
        <f>MONTH('Report Inputs'!$B$2)</f>
        <v>11</v>
      </c>
      <c r="C66" s="26">
        <f>YEAR('Report Inputs'!$B$2)</f>
        <v>2015</v>
      </c>
      <c r="D66" s="26">
        <v>66571</v>
      </c>
      <c r="F66" s="26" t="s">
        <v>65</v>
      </c>
      <c r="G66" s="26" t="s">
        <v>66</v>
      </c>
      <c r="H66" s="26" t="s">
        <v>67</v>
      </c>
      <c r="I66" s="26" t="s">
        <v>68</v>
      </c>
      <c r="J66" s="26" t="s">
        <v>69</v>
      </c>
      <c r="K66" s="26">
        <v>713</v>
      </c>
      <c r="L66" s="26" t="s">
        <v>70</v>
      </c>
      <c r="M66" s="26">
        <v>713</v>
      </c>
      <c r="N66" s="26" t="s">
        <v>71</v>
      </c>
      <c r="O66" s="26" t="s">
        <v>72</v>
      </c>
      <c r="P66" s="26">
        <v>45</v>
      </c>
      <c r="Q66" s="27">
        <v>11814</v>
      </c>
      <c r="R66" s="26">
        <v>0</v>
      </c>
      <c r="S66" s="26" t="s">
        <v>166</v>
      </c>
      <c r="T66" s="26" t="s">
        <v>80</v>
      </c>
      <c r="U66" s="26" t="s">
        <v>1025</v>
      </c>
      <c r="V66" s="26">
        <f t="shared" si="0"/>
        <v>0</v>
      </c>
      <c r="W66" s="26" t="s">
        <v>115</v>
      </c>
      <c r="X66" s="26">
        <v>29</v>
      </c>
      <c r="Y66" s="26" t="s">
        <v>74</v>
      </c>
      <c r="Z66" s="26" t="s">
        <v>75</v>
      </c>
      <c r="AA66" s="28">
        <f t="shared" si="20"/>
        <v>0</v>
      </c>
      <c r="AB66" s="28">
        <f t="shared" si="21"/>
        <v>0</v>
      </c>
      <c r="AC66" s="28">
        <f t="shared" si="22"/>
        <v>0</v>
      </c>
      <c r="AD66" s="28">
        <f t="shared" si="26"/>
        <v>0</v>
      </c>
      <c r="AE66" s="28">
        <f t="shared" si="23"/>
        <v>0</v>
      </c>
      <c r="AF66" s="28">
        <f t="shared" si="28"/>
        <v>0</v>
      </c>
      <c r="AG66" s="28">
        <f t="shared" ref="AG66:AG86" si="30">IF(ISNA(VLOOKUP($Q66,data,10,FALSE)),0,VLOOKUP($Q66,data,10,FALSE))</f>
        <v>0</v>
      </c>
      <c r="AH66" s="28">
        <f t="shared" ref="AH66:AH86" si="31">IF(ISNA(VLOOKUP($Q66,data,11,FALSE)),0,VLOOKUP($Q66,data,11,FALSE))</f>
        <v>0</v>
      </c>
      <c r="AI66" s="28">
        <f t="shared" si="29"/>
        <v>0</v>
      </c>
      <c r="AJ66" s="28">
        <f t="shared" si="16"/>
        <v>0</v>
      </c>
      <c r="AM66" s="28">
        <f t="shared" si="24"/>
        <v>0</v>
      </c>
      <c r="AN66" s="26" t="s">
        <v>744</v>
      </c>
      <c r="AS66" s="26" t="s">
        <v>76</v>
      </c>
      <c r="AT66" s="26" t="s">
        <v>77</v>
      </c>
      <c r="AU66" s="26" t="s">
        <v>78</v>
      </c>
      <c r="AV66" s="31">
        <f t="shared" ca="1" si="27"/>
        <v>42376.365370833337</v>
      </c>
    </row>
    <row r="67" spans="1:48">
      <c r="A67" s="26">
        <v>7</v>
      </c>
      <c r="B67" s="26">
        <f>MONTH('Report Inputs'!$B$2)</f>
        <v>11</v>
      </c>
      <c r="C67" s="26">
        <f>YEAR('Report Inputs'!$B$2)</f>
        <v>2015</v>
      </c>
      <c r="D67" s="26">
        <v>66571</v>
      </c>
      <c r="F67" s="26" t="s">
        <v>65</v>
      </c>
      <c r="G67" s="26" t="s">
        <v>66</v>
      </c>
      <c r="H67" s="26" t="s">
        <v>67</v>
      </c>
      <c r="I67" s="26" t="s">
        <v>68</v>
      </c>
      <c r="J67" s="26" t="s">
        <v>69</v>
      </c>
      <c r="K67" s="26">
        <v>713</v>
      </c>
      <c r="L67" s="26" t="s">
        <v>70</v>
      </c>
      <c r="M67" s="26">
        <v>713</v>
      </c>
      <c r="N67" s="26" t="s">
        <v>71</v>
      </c>
      <c r="O67" s="26" t="s">
        <v>72</v>
      </c>
      <c r="P67" s="26">
        <v>45</v>
      </c>
      <c r="Q67" s="27">
        <v>11815</v>
      </c>
      <c r="R67" s="26">
        <v>0</v>
      </c>
      <c r="S67" s="26" t="s">
        <v>175</v>
      </c>
      <c r="T67" s="26" t="s">
        <v>83</v>
      </c>
      <c r="U67" s="26" t="str">
        <f t="shared" si="8"/>
        <v>PR</v>
      </c>
      <c r="V67" s="26">
        <f t="shared" ref="V67:V85" si="32">IF(ISNA(VLOOKUP($Q67,data,4,FALSE)),0,VLOOKUP($Q67,data,4,FALSE))</f>
        <v>30</v>
      </c>
      <c r="W67" s="26" t="s">
        <v>115</v>
      </c>
      <c r="X67" s="26">
        <v>29</v>
      </c>
      <c r="Y67" s="26" t="s">
        <v>74</v>
      </c>
      <c r="Z67" s="26" t="s">
        <v>75</v>
      </c>
      <c r="AA67" s="28">
        <f t="shared" si="20"/>
        <v>0.23300000000000001</v>
      </c>
      <c r="AB67" s="28">
        <f t="shared" si="21"/>
        <v>3.512</v>
      </c>
      <c r="AC67" s="28">
        <f t="shared" si="22"/>
        <v>3.5950000000000002</v>
      </c>
      <c r="AD67" s="28">
        <f t="shared" si="26"/>
        <v>0</v>
      </c>
      <c r="AE67" s="28">
        <f t="shared" si="23"/>
        <v>0.15</v>
      </c>
      <c r="AF67" s="28">
        <f t="shared" si="28"/>
        <v>722.97</v>
      </c>
      <c r="AG67" s="28">
        <f t="shared" si="30"/>
        <v>0.7</v>
      </c>
      <c r="AH67" s="28">
        <f t="shared" si="31"/>
        <v>234.21199999999999</v>
      </c>
      <c r="AI67" s="28">
        <f t="shared" si="29"/>
        <v>0</v>
      </c>
      <c r="AJ67" s="28">
        <f t="shared" si="16"/>
        <v>488.05799999999999</v>
      </c>
      <c r="AK67" s="30">
        <f>'Report Inputs'!$F$2</f>
        <v>55.9</v>
      </c>
      <c r="AL67" s="28">
        <f>'Report Inputs'!$E$2</f>
        <v>1080</v>
      </c>
      <c r="AM67" s="28">
        <f t="shared" si="24"/>
        <v>5.508</v>
      </c>
      <c r="AN67" s="26" t="s">
        <v>744</v>
      </c>
      <c r="AS67" s="26" t="s">
        <v>76</v>
      </c>
      <c r="AT67" s="26" t="s">
        <v>77</v>
      </c>
      <c r="AU67" s="26" t="s">
        <v>78</v>
      </c>
      <c r="AV67" s="31">
        <f t="shared" ca="1" si="27"/>
        <v>42376.365370833337</v>
      </c>
    </row>
    <row r="68" spans="1:48">
      <c r="A68" s="26">
        <v>7</v>
      </c>
      <c r="B68" s="26">
        <f>MONTH('Report Inputs'!$B$2)</f>
        <v>11</v>
      </c>
      <c r="C68" s="26">
        <f>YEAR('Report Inputs'!$B$2)</f>
        <v>2015</v>
      </c>
      <c r="D68" s="26">
        <v>66571</v>
      </c>
      <c r="F68" s="26" t="s">
        <v>65</v>
      </c>
      <c r="G68" s="26" t="s">
        <v>66</v>
      </c>
      <c r="H68" s="26" t="s">
        <v>67</v>
      </c>
      <c r="I68" s="26" t="s">
        <v>68</v>
      </c>
      <c r="J68" s="26" t="s">
        <v>69</v>
      </c>
      <c r="K68" s="26">
        <v>713</v>
      </c>
      <c r="L68" s="26" t="s">
        <v>70</v>
      </c>
      <c r="M68" s="26">
        <v>713</v>
      </c>
      <c r="N68" s="26" t="s">
        <v>71</v>
      </c>
      <c r="O68" s="26" t="s">
        <v>72</v>
      </c>
      <c r="P68" s="26">
        <v>45</v>
      </c>
      <c r="Q68" s="27">
        <v>11816</v>
      </c>
      <c r="R68" s="26">
        <v>0</v>
      </c>
      <c r="S68" s="26" t="s">
        <v>174</v>
      </c>
      <c r="T68" s="26" t="s">
        <v>80</v>
      </c>
      <c r="U68" s="26" t="str">
        <f t="shared" ref="U68:U131" si="33">IF(V68&gt;0,"PR","SI")</f>
        <v>PR</v>
      </c>
      <c r="V68" s="26">
        <f t="shared" si="32"/>
        <v>30</v>
      </c>
      <c r="W68" s="26" t="s">
        <v>115</v>
      </c>
      <c r="X68" s="26">
        <v>29</v>
      </c>
      <c r="Y68" s="26" t="s">
        <v>74</v>
      </c>
      <c r="Z68" s="26" t="s">
        <v>75</v>
      </c>
      <c r="AA68" s="28">
        <f t="shared" si="20"/>
        <v>0.59499999999999997</v>
      </c>
      <c r="AB68" s="28">
        <f t="shared" si="21"/>
        <v>8.4369999999999994</v>
      </c>
      <c r="AC68" s="28">
        <f t="shared" si="22"/>
        <v>8.67</v>
      </c>
      <c r="AD68" s="28">
        <f t="shared" si="26"/>
        <v>0</v>
      </c>
      <c r="AE68" s="28">
        <f t="shared" si="23"/>
        <v>0.36199999999999999</v>
      </c>
      <c r="AF68" s="28">
        <f t="shared" si="28"/>
        <v>1441.65</v>
      </c>
      <c r="AG68" s="28">
        <f t="shared" si="30"/>
        <v>1.67</v>
      </c>
      <c r="AH68" s="28">
        <f t="shared" si="31"/>
        <v>267.56900000000002</v>
      </c>
      <c r="AI68" s="28">
        <f t="shared" si="29"/>
        <v>0</v>
      </c>
      <c r="AJ68" s="28">
        <f t="shared" si="16"/>
        <v>1172.4110000000001</v>
      </c>
      <c r="AK68" s="30">
        <f>'Report Inputs'!$F$2</f>
        <v>55.9</v>
      </c>
      <c r="AL68" s="28">
        <f>'Report Inputs'!$E$2</f>
        <v>1080</v>
      </c>
      <c r="AM68" s="28">
        <f t="shared" si="24"/>
        <v>13.231</v>
      </c>
      <c r="AN68" s="26" t="s">
        <v>744</v>
      </c>
      <c r="AS68" s="26" t="s">
        <v>76</v>
      </c>
      <c r="AT68" s="26" t="s">
        <v>77</v>
      </c>
      <c r="AU68" s="26" t="s">
        <v>78</v>
      </c>
      <c r="AV68" s="31">
        <f t="shared" ca="1" si="27"/>
        <v>42376.365370833337</v>
      </c>
    </row>
    <row r="69" spans="1:48">
      <c r="A69" s="26">
        <v>7</v>
      </c>
      <c r="B69" s="26">
        <f>MONTH('Report Inputs'!$B$2)</f>
        <v>11</v>
      </c>
      <c r="C69" s="26">
        <f>YEAR('Report Inputs'!$B$2)</f>
        <v>2015</v>
      </c>
      <c r="D69" s="26">
        <v>66571</v>
      </c>
      <c r="F69" s="26" t="s">
        <v>65</v>
      </c>
      <c r="G69" s="26" t="s">
        <v>66</v>
      </c>
      <c r="H69" s="26" t="s">
        <v>67</v>
      </c>
      <c r="I69" s="26" t="s">
        <v>68</v>
      </c>
      <c r="J69" s="26" t="s">
        <v>69</v>
      </c>
      <c r="K69" s="26">
        <v>713</v>
      </c>
      <c r="L69" s="26" t="s">
        <v>70</v>
      </c>
      <c r="M69" s="26">
        <v>713</v>
      </c>
      <c r="N69" s="26" t="s">
        <v>71</v>
      </c>
      <c r="O69" s="26" t="s">
        <v>72</v>
      </c>
      <c r="P69" s="26">
        <v>45</v>
      </c>
      <c r="Q69" s="27">
        <v>11818</v>
      </c>
      <c r="R69" s="26">
        <v>0</v>
      </c>
      <c r="S69" s="26" t="s">
        <v>165</v>
      </c>
      <c r="T69" s="26" t="s">
        <v>83</v>
      </c>
      <c r="U69" s="26" t="str">
        <f t="shared" si="33"/>
        <v>PR</v>
      </c>
      <c r="V69" s="26">
        <f t="shared" si="32"/>
        <v>30</v>
      </c>
      <c r="W69" s="26" t="s">
        <v>84</v>
      </c>
      <c r="X69" s="26">
        <v>20</v>
      </c>
      <c r="Y69" s="26" t="s">
        <v>74</v>
      </c>
      <c r="Z69" s="26" t="s">
        <v>75</v>
      </c>
      <c r="AA69" s="28">
        <f t="shared" si="20"/>
        <v>1.355</v>
      </c>
      <c r="AB69" s="28">
        <f t="shared" si="21"/>
        <v>38.201999999999998</v>
      </c>
      <c r="AC69" s="28">
        <f t="shared" si="22"/>
        <v>38.090000000000003</v>
      </c>
      <c r="AD69" s="28">
        <f t="shared" si="26"/>
        <v>0</v>
      </c>
      <c r="AE69" s="28">
        <f t="shared" si="23"/>
        <v>1.4670000000000001</v>
      </c>
      <c r="AF69" s="28">
        <f t="shared" si="28"/>
        <v>2458.25</v>
      </c>
      <c r="AG69" s="28">
        <f t="shared" si="30"/>
        <v>7.68</v>
      </c>
      <c r="AH69" s="28">
        <f t="shared" si="31"/>
        <v>309.21699999999998</v>
      </c>
      <c r="AI69" s="28">
        <f t="shared" si="29"/>
        <v>0</v>
      </c>
      <c r="AJ69" s="28">
        <f t="shared" si="16"/>
        <v>2141.3530000000001</v>
      </c>
      <c r="AK69" s="30">
        <f>'Report Inputs'!$F$2</f>
        <v>55.9</v>
      </c>
      <c r="AL69" s="28">
        <f>'Report Inputs'!$E$2</f>
        <v>1080</v>
      </c>
      <c r="AM69" s="28">
        <f t="shared" si="24"/>
        <v>89.436999999999998</v>
      </c>
      <c r="AN69" s="26" t="s">
        <v>744</v>
      </c>
      <c r="AS69" s="26" t="s">
        <v>76</v>
      </c>
      <c r="AT69" s="26" t="s">
        <v>77</v>
      </c>
      <c r="AU69" s="26" t="s">
        <v>78</v>
      </c>
      <c r="AV69" s="31">
        <f t="shared" ca="1" si="27"/>
        <v>42376.365370833337</v>
      </c>
    </row>
    <row r="70" spans="1:48">
      <c r="A70" s="26">
        <v>7</v>
      </c>
      <c r="B70" s="26">
        <f>MONTH('Report Inputs'!$B$2)</f>
        <v>11</v>
      </c>
      <c r="C70" s="26">
        <f>YEAR('Report Inputs'!$B$2)</f>
        <v>2015</v>
      </c>
      <c r="D70" s="26">
        <v>66571</v>
      </c>
      <c r="F70" s="26" t="s">
        <v>65</v>
      </c>
      <c r="G70" s="26" t="s">
        <v>66</v>
      </c>
      <c r="H70" s="26" t="s">
        <v>67</v>
      </c>
      <c r="I70" s="26" t="s">
        <v>68</v>
      </c>
      <c r="J70" s="26" t="s">
        <v>69</v>
      </c>
      <c r="K70" s="26">
        <v>713</v>
      </c>
      <c r="L70" s="26" t="s">
        <v>70</v>
      </c>
      <c r="M70" s="26">
        <v>713</v>
      </c>
      <c r="N70" s="26" t="s">
        <v>71</v>
      </c>
      <c r="O70" s="26" t="s">
        <v>72</v>
      </c>
      <c r="P70" s="26">
        <v>45</v>
      </c>
      <c r="Q70" s="27">
        <v>11894</v>
      </c>
      <c r="R70" s="26">
        <v>0</v>
      </c>
      <c r="S70" s="26" t="s">
        <v>149</v>
      </c>
      <c r="T70" s="26" t="s">
        <v>83</v>
      </c>
      <c r="U70" s="26" t="str">
        <f t="shared" si="33"/>
        <v>PR</v>
      </c>
      <c r="V70" s="26">
        <f t="shared" si="32"/>
        <v>30</v>
      </c>
      <c r="W70" s="26" t="s">
        <v>86</v>
      </c>
      <c r="X70" s="26">
        <v>20</v>
      </c>
      <c r="Y70" s="26" t="s">
        <v>74</v>
      </c>
      <c r="Z70" s="26" t="s">
        <v>75</v>
      </c>
      <c r="AA70" s="28">
        <f t="shared" ref="AA70:AA86" si="34">IF(ISNA(VLOOKUP($Q70,data,5,FALSE)),0,VLOOKUP($Q70,data,5,FALSE))</f>
        <v>1.258</v>
      </c>
      <c r="AB70" s="28">
        <f t="shared" ref="AB70:AB86" si="35">IF(ISNA(VLOOKUP($Q70,data,7,FALSE)),0,VLOOKUP($Q70,data,7,FALSE))</f>
        <v>3.8690000000000002</v>
      </c>
      <c r="AC70" s="28">
        <f t="shared" ref="AC70:AC86" si="36">IF(ISNA(VLOOKUP($Q70,data,6,FALSE)),0,VLOOKUP($Q70,data,6,FALSE))</f>
        <v>4.806</v>
      </c>
      <c r="AD70" s="28">
        <f t="shared" si="26"/>
        <v>0</v>
      </c>
      <c r="AE70" s="28">
        <f t="shared" ref="AE70:AE86" si="37">IF(ISNA(VLOOKUP($Q70,data,13,FALSE)),0,VLOOKUP($Q70,data,13,FALSE))</f>
        <v>0.32100000000000001</v>
      </c>
      <c r="AF70" s="28">
        <f t="shared" si="28"/>
        <v>3810.83</v>
      </c>
      <c r="AG70" s="28">
        <f t="shared" si="30"/>
        <v>0.66</v>
      </c>
      <c r="AH70" s="28">
        <f t="shared" si="31"/>
        <v>368.221</v>
      </c>
      <c r="AI70" s="28">
        <f t="shared" si="29"/>
        <v>0</v>
      </c>
      <c r="AJ70" s="28">
        <f t="shared" ref="AJ70:AJ86" si="38">IF(ISNA(VLOOKUP($Q70,data,8,FALSE)),0,VLOOKUP($Q70,data,8,FALSE))</f>
        <v>3441.9490000000001</v>
      </c>
      <c r="AK70" s="30">
        <f>'Report Inputs'!$F$2</f>
        <v>55.9</v>
      </c>
      <c r="AL70" s="28">
        <f>'Report Inputs'!$E$2</f>
        <v>1080</v>
      </c>
      <c r="AM70" s="28">
        <f t="shared" ref="AM70:AM86" si="39">IF(ISNA(VLOOKUP($Q70,data,14,FALSE)),0,VLOOKUP($Q70,data,14,FALSE))</f>
        <v>45.795999999999999</v>
      </c>
      <c r="AN70" s="26" t="s">
        <v>744</v>
      </c>
      <c r="AS70" s="26" t="s">
        <v>76</v>
      </c>
      <c r="AT70" s="26" t="s">
        <v>77</v>
      </c>
      <c r="AU70" s="26" t="s">
        <v>78</v>
      </c>
      <c r="AV70" s="31">
        <f t="shared" ca="1" si="27"/>
        <v>42376.365370833337</v>
      </c>
    </row>
    <row r="71" spans="1:48">
      <c r="A71" s="26">
        <v>7</v>
      </c>
      <c r="B71" s="26">
        <f>MONTH('Report Inputs'!$B$2)</f>
        <v>11</v>
      </c>
      <c r="C71" s="26">
        <f>YEAR('Report Inputs'!$B$2)</f>
        <v>2015</v>
      </c>
      <c r="D71" s="26">
        <v>66571</v>
      </c>
      <c r="F71" s="26" t="s">
        <v>65</v>
      </c>
      <c r="G71" s="26" t="s">
        <v>66</v>
      </c>
      <c r="H71" s="26" t="s">
        <v>67</v>
      </c>
      <c r="I71" s="26" t="s">
        <v>68</v>
      </c>
      <c r="J71" s="26" t="s">
        <v>69</v>
      </c>
      <c r="K71" s="26">
        <v>713</v>
      </c>
      <c r="L71" s="26" t="s">
        <v>70</v>
      </c>
      <c r="M71" s="26">
        <v>713</v>
      </c>
      <c r="N71" s="26" t="s">
        <v>71</v>
      </c>
      <c r="O71" s="26" t="s">
        <v>72</v>
      </c>
      <c r="P71" s="26">
        <v>45</v>
      </c>
      <c r="Q71" s="27">
        <v>11926</v>
      </c>
      <c r="R71" s="26">
        <v>0</v>
      </c>
      <c r="S71" s="26" t="s">
        <v>181</v>
      </c>
      <c r="T71" s="26" t="s">
        <v>80</v>
      </c>
      <c r="U71" s="26" t="str">
        <f t="shared" si="33"/>
        <v>PR</v>
      </c>
      <c r="V71" s="26">
        <f t="shared" si="32"/>
        <v>2</v>
      </c>
      <c r="W71" s="26" t="s">
        <v>92</v>
      </c>
      <c r="X71" s="26">
        <v>29</v>
      </c>
      <c r="Y71" s="26" t="s">
        <v>74</v>
      </c>
      <c r="Z71" s="26" t="s">
        <v>75</v>
      </c>
      <c r="AA71" s="28">
        <f t="shared" si="34"/>
        <v>0.185</v>
      </c>
      <c r="AB71" s="28">
        <f t="shared" si="35"/>
        <v>3.4689999999999999</v>
      </c>
      <c r="AC71" s="28">
        <f t="shared" si="36"/>
        <v>3.4750000000000001</v>
      </c>
      <c r="AD71" s="28">
        <f t="shared" si="26"/>
        <v>0</v>
      </c>
      <c r="AE71" s="28">
        <f t="shared" si="37"/>
        <v>0.17899999999999999</v>
      </c>
      <c r="AF71" s="28">
        <f t="shared" si="28"/>
        <v>1187.4000000000001</v>
      </c>
      <c r="AG71" s="28">
        <f t="shared" si="30"/>
        <v>0.67</v>
      </c>
      <c r="AH71" s="28">
        <f t="shared" si="31"/>
        <v>186.60300000000001</v>
      </c>
      <c r="AI71" s="28">
        <f t="shared" si="29"/>
        <v>-1</v>
      </c>
      <c r="AJ71" s="28">
        <f t="shared" si="38"/>
        <v>1000.127</v>
      </c>
      <c r="AK71" s="30">
        <f>'Report Inputs'!$F$2</f>
        <v>55.9</v>
      </c>
      <c r="AL71" s="28">
        <f>'Report Inputs'!$E$2</f>
        <v>1080</v>
      </c>
      <c r="AM71" s="28">
        <f t="shared" si="39"/>
        <v>103.41500000000001</v>
      </c>
      <c r="AN71" s="26" t="s">
        <v>744</v>
      </c>
      <c r="AS71" s="26" t="s">
        <v>76</v>
      </c>
      <c r="AT71" s="26" t="s">
        <v>77</v>
      </c>
      <c r="AU71" s="26" t="s">
        <v>78</v>
      </c>
      <c r="AV71" s="31">
        <f t="shared" ca="1" si="27"/>
        <v>42376.365370833337</v>
      </c>
    </row>
    <row r="72" spans="1:48">
      <c r="A72" s="26">
        <v>7</v>
      </c>
      <c r="B72" s="26">
        <f>MONTH('Report Inputs'!$B$2)</f>
        <v>11</v>
      </c>
      <c r="C72" s="26">
        <f>YEAR('Report Inputs'!$B$2)</f>
        <v>2015</v>
      </c>
      <c r="D72" s="26">
        <v>66571</v>
      </c>
      <c r="F72" s="26" t="s">
        <v>65</v>
      </c>
      <c r="G72" s="26" t="s">
        <v>66</v>
      </c>
      <c r="H72" s="26" t="s">
        <v>67</v>
      </c>
      <c r="I72" s="26" t="s">
        <v>68</v>
      </c>
      <c r="J72" s="26" t="s">
        <v>69</v>
      </c>
      <c r="K72" s="26">
        <v>713</v>
      </c>
      <c r="L72" s="26" t="s">
        <v>70</v>
      </c>
      <c r="M72" s="26">
        <v>713</v>
      </c>
      <c r="N72" s="26" t="s">
        <v>71</v>
      </c>
      <c r="O72" s="26" t="s">
        <v>72</v>
      </c>
      <c r="P72" s="26">
        <v>45</v>
      </c>
      <c r="Q72" s="27">
        <v>11927</v>
      </c>
      <c r="R72" s="26">
        <v>0</v>
      </c>
      <c r="S72" s="26" t="s">
        <v>195</v>
      </c>
      <c r="T72" s="26" t="s">
        <v>83</v>
      </c>
      <c r="U72" s="26" t="str">
        <f t="shared" si="33"/>
        <v>PR</v>
      </c>
      <c r="V72" s="26">
        <f t="shared" si="32"/>
        <v>30</v>
      </c>
      <c r="W72" s="26" t="s">
        <v>282</v>
      </c>
      <c r="X72" s="26">
        <v>5</v>
      </c>
      <c r="Y72" s="26" t="s">
        <v>194</v>
      </c>
      <c r="Z72" s="26" t="s">
        <v>75</v>
      </c>
      <c r="AA72" s="28">
        <f t="shared" si="34"/>
        <v>0.92500000000000004</v>
      </c>
      <c r="AB72" s="28">
        <f t="shared" si="35"/>
        <v>3.476</v>
      </c>
      <c r="AC72" s="28">
        <f t="shared" si="36"/>
        <v>4.1890000000000001</v>
      </c>
      <c r="AD72" s="28">
        <f t="shared" si="26"/>
        <v>0</v>
      </c>
      <c r="AE72" s="28">
        <f t="shared" si="37"/>
        <v>0.21199999999999999</v>
      </c>
      <c r="AF72" s="28">
        <f t="shared" si="28"/>
        <v>1905.11</v>
      </c>
      <c r="AG72" s="28">
        <f t="shared" si="30"/>
        <v>0.65</v>
      </c>
      <c r="AH72" s="28">
        <f t="shared" si="31"/>
        <v>247.625</v>
      </c>
      <c r="AI72" s="28">
        <f t="shared" si="29"/>
        <v>-1</v>
      </c>
      <c r="AJ72" s="28">
        <f t="shared" si="38"/>
        <v>1656.835</v>
      </c>
      <c r="AK72" s="30">
        <f>'Report Inputs'!$F$2</f>
        <v>55.9</v>
      </c>
      <c r="AL72" s="28">
        <f>'Report Inputs'!$E$2</f>
        <v>1080</v>
      </c>
      <c r="AM72" s="28">
        <f t="shared" si="39"/>
        <v>85.295000000000002</v>
      </c>
      <c r="AN72" s="26" t="s">
        <v>744</v>
      </c>
      <c r="AS72" s="26" t="s">
        <v>76</v>
      </c>
      <c r="AT72" s="26" t="s">
        <v>77</v>
      </c>
      <c r="AU72" s="26" t="s">
        <v>78</v>
      </c>
      <c r="AV72" s="31">
        <f t="shared" ca="1" si="27"/>
        <v>42376.365370833337</v>
      </c>
    </row>
    <row r="73" spans="1:48">
      <c r="A73" s="26">
        <v>7</v>
      </c>
      <c r="B73" s="26">
        <f>MONTH('Report Inputs'!$B$2)</f>
        <v>11</v>
      </c>
      <c r="C73" s="26">
        <f>YEAR('Report Inputs'!$B$2)</f>
        <v>2015</v>
      </c>
      <c r="D73" s="26">
        <v>66571</v>
      </c>
      <c r="F73" s="26" t="s">
        <v>65</v>
      </c>
      <c r="G73" s="26" t="s">
        <v>66</v>
      </c>
      <c r="H73" s="26" t="s">
        <v>67</v>
      </c>
      <c r="I73" s="26" t="s">
        <v>68</v>
      </c>
      <c r="J73" s="26" t="s">
        <v>69</v>
      </c>
      <c r="K73" s="26">
        <v>713</v>
      </c>
      <c r="L73" s="26" t="s">
        <v>70</v>
      </c>
      <c r="M73" s="26">
        <v>713</v>
      </c>
      <c r="N73" s="26" t="s">
        <v>71</v>
      </c>
      <c r="O73" s="26" t="s">
        <v>72</v>
      </c>
      <c r="P73" s="26">
        <v>45</v>
      </c>
      <c r="Q73" s="27">
        <v>11928</v>
      </c>
      <c r="R73" s="26">
        <v>0</v>
      </c>
      <c r="S73" s="26" t="s">
        <v>197</v>
      </c>
      <c r="T73" s="26" t="s">
        <v>83</v>
      </c>
      <c r="U73" s="26" t="str">
        <f t="shared" si="33"/>
        <v>PR</v>
      </c>
      <c r="V73" s="26">
        <f t="shared" si="32"/>
        <v>30</v>
      </c>
      <c r="W73" s="26" t="s">
        <v>86</v>
      </c>
      <c r="X73" s="26">
        <v>5</v>
      </c>
      <c r="Y73" s="26" t="s">
        <v>194</v>
      </c>
      <c r="Z73" s="26" t="s">
        <v>75</v>
      </c>
      <c r="AA73" s="28">
        <f t="shared" si="34"/>
        <v>0.60399999999999998</v>
      </c>
      <c r="AB73" s="28">
        <f t="shared" si="35"/>
        <v>2.3210000000000002</v>
      </c>
      <c r="AC73" s="28">
        <f t="shared" si="36"/>
        <v>2.7829999999999999</v>
      </c>
      <c r="AD73" s="28">
        <f t="shared" si="26"/>
        <v>0</v>
      </c>
      <c r="AE73" s="28">
        <f t="shared" si="37"/>
        <v>0.14199999999999999</v>
      </c>
      <c r="AF73" s="28">
        <f t="shared" si="28"/>
        <v>1327.1</v>
      </c>
      <c r="AG73" s="28">
        <f t="shared" si="30"/>
        <v>0.43</v>
      </c>
      <c r="AH73" s="28">
        <f t="shared" si="31"/>
        <v>219.786</v>
      </c>
      <c r="AI73" s="28">
        <f t="shared" ref="AI73" si="40">ROUND(AF73,0)-ROUND(AG73,0)-ROUND(AH73,0)-ROUND(AJ73,0)</f>
        <v>0</v>
      </c>
      <c r="AJ73" s="28">
        <f t="shared" si="38"/>
        <v>1106.884</v>
      </c>
      <c r="AK73" s="30">
        <f>'Report Inputs'!$F$2</f>
        <v>55.9</v>
      </c>
      <c r="AL73" s="28">
        <f>'Report Inputs'!$E$2</f>
        <v>1080</v>
      </c>
      <c r="AM73" s="28">
        <f t="shared" si="39"/>
        <v>56.984000000000002</v>
      </c>
      <c r="AN73" s="26" t="s">
        <v>744</v>
      </c>
      <c r="AS73" s="26" t="s">
        <v>76</v>
      </c>
      <c r="AT73" s="26" t="s">
        <v>77</v>
      </c>
      <c r="AU73" s="26" t="s">
        <v>78</v>
      </c>
      <c r="AV73" s="31">
        <f t="shared" ca="1" si="27"/>
        <v>42376.365370833337</v>
      </c>
    </row>
    <row r="74" spans="1:48">
      <c r="A74" s="26">
        <v>7</v>
      </c>
      <c r="B74" s="26">
        <f>MONTH('Report Inputs'!$B$2)</f>
        <v>11</v>
      </c>
      <c r="C74" s="26">
        <f>YEAR('Report Inputs'!$B$2)</f>
        <v>2015</v>
      </c>
      <c r="D74" s="26">
        <v>66571</v>
      </c>
      <c r="F74" s="26" t="s">
        <v>65</v>
      </c>
      <c r="G74" s="26" t="s">
        <v>66</v>
      </c>
      <c r="H74" s="26" t="s">
        <v>67</v>
      </c>
      <c r="I74" s="26" t="s">
        <v>68</v>
      </c>
      <c r="J74" s="26" t="s">
        <v>69</v>
      </c>
      <c r="K74" s="26">
        <v>713</v>
      </c>
      <c r="L74" s="26" t="s">
        <v>70</v>
      </c>
      <c r="M74" s="26">
        <v>713</v>
      </c>
      <c r="N74" s="26" t="s">
        <v>71</v>
      </c>
      <c r="O74" s="26" t="s">
        <v>72</v>
      </c>
      <c r="P74" s="26">
        <v>45</v>
      </c>
      <c r="Q74" s="27">
        <v>11960</v>
      </c>
      <c r="R74" s="26">
        <v>0</v>
      </c>
      <c r="S74" s="26" t="s">
        <v>198</v>
      </c>
      <c r="T74" s="26" t="s">
        <v>80</v>
      </c>
      <c r="U74" s="26" t="str">
        <f t="shared" si="33"/>
        <v>PR</v>
      </c>
      <c r="V74" s="26">
        <f t="shared" si="32"/>
        <v>30</v>
      </c>
      <c r="W74" s="26" t="s">
        <v>86</v>
      </c>
      <c r="X74" s="26">
        <v>5</v>
      </c>
      <c r="Y74" s="26" t="s">
        <v>194</v>
      </c>
      <c r="Z74" s="26" t="s">
        <v>75</v>
      </c>
      <c r="AA74" s="28">
        <f t="shared" si="34"/>
        <v>1.23</v>
      </c>
      <c r="AB74" s="28">
        <f t="shared" si="35"/>
        <v>4.4779999999999998</v>
      </c>
      <c r="AC74" s="28">
        <f t="shared" si="36"/>
        <v>5.4340000000000002</v>
      </c>
      <c r="AD74" s="28">
        <f t="shared" si="26"/>
        <v>0</v>
      </c>
      <c r="AE74" s="28">
        <f t="shared" si="37"/>
        <v>0.27400000000000002</v>
      </c>
      <c r="AF74" s="28">
        <f t="shared" si="28"/>
        <v>2401.6999999999998</v>
      </c>
      <c r="AG74" s="28">
        <f t="shared" si="30"/>
        <v>0.83</v>
      </c>
      <c r="AH74" s="28">
        <f t="shared" si="31"/>
        <v>266.404</v>
      </c>
      <c r="AI74" s="28">
        <f t="shared" si="29"/>
        <v>1</v>
      </c>
      <c r="AJ74" s="28">
        <f t="shared" si="38"/>
        <v>2134.4659999999999</v>
      </c>
      <c r="AK74" s="30">
        <f>'Report Inputs'!$F$2</f>
        <v>55.9</v>
      </c>
      <c r="AL74" s="28">
        <f>'Report Inputs'!$E$2</f>
        <v>1080</v>
      </c>
      <c r="AM74" s="28">
        <f t="shared" si="39"/>
        <v>109.884</v>
      </c>
      <c r="AN74" s="26" t="s">
        <v>744</v>
      </c>
      <c r="AS74" s="26" t="s">
        <v>76</v>
      </c>
      <c r="AT74" s="26" t="s">
        <v>77</v>
      </c>
      <c r="AU74" s="26" t="s">
        <v>78</v>
      </c>
      <c r="AV74" s="31">
        <f t="shared" ca="1" si="27"/>
        <v>42376.365370833337</v>
      </c>
    </row>
    <row r="75" spans="1:48">
      <c r="A75" s="26">
        <v>7</v>
      </c>
      <c r="B75" s="26">
        <f>MONTH('Report Inputs'!$B$2)</f>
        <v>11</v>
      </c>
      <c r="C75" s="26">
        <f>YEAR('Report Inputs'!$B$2)</f>
        <v>2015</v>
      </c>
      <c r="D75" s="26">
        <v>66571</v>
      </c>
      <c r="F75" s="26" t="s">
        <v>65</v>
      </c>
      <c r="G75" s="26" t="s">
        <v>66</v>
      </c>
      <c r="H75" s="26" t="s">
        <v>67</v>
      </c>
      <c r="I75" s="26" t="s">
        <v>68</v>
      </c>
      <c r="J75" s="26" t="s">
        <v>69</v>
      </c>
      <c r="K75" s="26">
        <v>713</v>
      </c>
      <c r="L75" s="26" t="s">
        <v>70</v>
      </c>
      <c r="M75" s="26">
        <v>713</v>
      </c>
      <c r="N75" s="26" t="s">
        <v>71</v>
      </c>
      <c r="O75" s="26" t="s">
        <v>72</v>
      </c>
      <c r="P75" s="26">
        <v>45</v>
      </c>
      <c r="Q75" s="27">
        <v>11961</v>
      </c>
      <c r="R75" s="26">
        <v>0</v>
      </c>
      <c r="S75" s="26" t="s">
        <v>196</v>
      </c>
      <c r="T75" s="26" t="s">
        <v>83</v>
      </c>
      <c r="U75" s="26" t="str">
        <f t="shared" si="33"/>
        <v>PR</v>
      </c>
      <c r="V75" s="26">
        <f t="shared" si="32"/>
        <v>30</v>
      </c>
      <c r="W75" s="26" t="s">
        <v>282</v>
      </c>
      <c r="X75" s="26">
        <v>5</v>
      </c>
      <c r="Y75" s="26" t="s">
        <v>194</v>
      </c>
      <c r="Z75" s="26" t="s">
        <v>75</v>
      </c>
      <c r="AA75" s="28">
        <f t="shared" si="34"/>
        <v>0.93700000000000006</v>
      </c>
      <c r="AB75" s="28">
        <f t="shared" si="35"/>
        <v>3.472</v>
      </c>
      <c r="AC75" s="28">
        <f t="shared" si="36"/>
        <v>4.1959999999999997</v>
      </c>
      <c r="AD75" s="28">
        <f t="shared" si="26"/>
        <v>0</v>
      </c>
      <c r="AE75" s="28">
        <f t="shared" si="37"/>
        <v>0.21299999999999999</v>
      </c>
      <c r="AF75" s="28">
        <f t="shared" si="28"/>
        <v>1900.32</v>
      </c>
      <c r="AG75" s="28">
        <f t="shared" si="30"/>
        <v>0.65</v>
      </c>
      <c r="AH75" s="28">
        <f t="shared" si="31"/>
        <v>244.65299999999999</v>
      </c>
      <c r="AI75" s="28">
        <f t="shared" si="29"/>
        <v>-1</v>
      </c>
      <c r="AJ75" s="28">
        <f t="shared" si="38"/>
        <v>1655.0170000000001</v>
      </c>
      <c r="AK75" s="30">
        <f>'Report Inputs'!$F$2</f>
        <v>55.9</v>
      </c>
      <c r="AL75" s="28">
        <f>'Report Inputs'!$E$2</f>
        <v>1080</v>
      </c>
      <c r="AM75" s="28">
        <f t="shared" si="39"/>
        <v>85.201999999999998</v>
      </c>
      <c r="AN75" s="26" t="s">
        <v>744</v>
      </c>
      <c r="AS75" s="26" t="s">
        <v>76</v>
      </c>
      <c r="AT75" s="26" t="s">
        <v>77</v>
      </c>
      <c r="AU75" s="26" t="s">
        <v>78</v>
      </c>
      <c r="AV75" s="31">
        <f t="shared" ca="1" si="27"/>
        <v>42376.365370833337</v>
      </c>
    </row>
    <row r="76" spans="1:48">
      <c r="A76" s="26">
        <v>7</v>
      </c>
      <c r="B76" s="26">
        <f>MONTH('Report Inputs'!$B$2)</f>
        <v>11</v>
      </c>
      <c r="C76" s="26">
        <f>YEAR('Report Inputs'!$B$2)</f>
        <v>2015</v>
      </c>
      <c r="D76" s="26">
        <v>66571</v>
      </c>
      <c r="F76" s="26" t="s">
        <v>65</v>
      </c>
      <c r="G76" s="26" t="s">
        <v>66</v>
      </c>
      <c r="H76" s="26" t="s">
        <v>67</v>
      </c>
      <c r="I76" s="26" t="s">
        <v>68</v>
      </c>
      <c r="J76" s="26" t="s">
        <v>69</v>
      </c>
      <c r="K76" s="26">
        <v>713</v>
      </c>
      <c r="L76" s="26" t="s">
        <v>70</v>
      </c>
      <c r="M76" s="26">
        <v>713</v>
      </c>
      <c r="N76" s="26" t="s">
        <v>71</v>
      </c>
      <c r="O76" s="26" t="s">
        <v>72</v>
      </c>
      <c r="P76" s="26">
        <v>45</v>
      </c>
      <c r="Q76" s="27">
        <v>11963</v>
      </c>
      <c r="R76" s="26">
        <v>0</v>
      </c>
      <c r="S76" s="26" t="s">
        <v>204</v>
      </c>
      <c r="T76" s="26" t="s">
        <v>83</v>
      </c>
      <c r="U76" s="26" t="str">
        <f t="shared" si="33"/>
        <v>PR</v>
      </c>
      <c r="V76" s="26">
        <f t="shared" si="32"/>
        <v>30</v>
      </c>
      <c r="W76" s="26" t="s">
        <v>101</v>
      </c>
      <c r="X76" s="26">
        <v>5</v>
      </c>
      <c r="Y76" s="26" t="s">
        <v>194</v>
      </c>
      <c r="Z76" s="26" t="s">
        <v>75</v>
      </c>
      <c r="AA76" s="28">
        <f t="shared" si="34"/>
        <v>1.151</v>
      </c>
      <c r="AB76" s="28">
        <f t="shared" si="35"/>
        <v>31.718</v>
      </c>
      <c r="AC76" s="28">
        <f t="shared" si="36"/>
        <v>31.658000000000001</v>
      </c>
      <c r="AD76" s="28">
        <f t="shared" si="26"/>
        <v>0</v>
      </c>
      <c r="AE76" s="28">
        <f t="shared" si="37"/>
        <v>1.2110000000000001</v>
      </c>
      <c r="AF76" s="28">
        <f t="shared" si="28"/>
        <v>1907.35</v>
      </c>
      <c r="AG76" s="28">
        <f t="shared" si="30"/>
        <v>6.38</v>
      </c>
      <c r="AH76" s="28">
        <f t="shared" si="31"/>
        <v>285.36500000000001</v>
      </c>
      <c r="AI76" s="28">
        <f t="shared" si="29"/>
        <v>0</v>
      </c>
      <c r="AJ76" s="28">
        <f t="shared" si="38"/>
        <v>1615.605</v>
      </c>
      <c r="AK76" s="30">
        <f>'Report Inputs'!$F$2</f>
        <v>55.9</v>
      </c>
      <c r="AL76" s="28">
        <f>'Report Inputs'!$E$2</f>
        <v>1080</v>
      </c>
      <c r="AM76" s="28">
        <f t="shared" si="39"/>
        <v>55.825000000000003</v>
      </c>
      <c r="AN76" s="26" t="s">
        <v>744</v>
      </c>
      <c r="AS76" s="26" t="s">
        <v>76</v>
      </c>
      <c r="AT76" s="26" t="s">
        <v>77</v>
      </c>
      <c r="AU76" s="26" t="s">
        <v>78</v>
      </c>
      <c r="AV76" s="31">
        <f t="shared" ca="1" si="27"/>
        <v>42376.365370833337</v>
      </c>
    </row>
    <row r="77" spans="1:48">
      <c r="A77" s="26">
        <v>7</v>
      </c>
      <c r="B77" s="26">
        <f>MONTH('Report Inputs'!$B$2)</f>
        <v>11</v>
      </c>
      <c r="C77" s="26">
        <f>YEAR('Report Inputs'!$B$2)</f>
        <v>2015</v>
      </c>
      <c r="D77" s="26">
        <v>66571</v>
      </c>
      <c r="F77" s="26" t="s">
        <v>65</v>
      </c>
      <c r="G77" s="26" t="s">
        <v>66</v>
      </c>
      <c r="H77" s="26" t="s">
        <v>67</v>
      </c>
      <c r="I77" s="26" t="s">
        <v>68</v>
      </c>
      <c r="J77" s="26" t="s">
        <v>69</v>
      </c>
      <c r="K77" s="26">
        <v>713</v>
      </c>
      <c r="L77" s="26" t="s">
        <v>70</v>
      </c>
      <c r="M77" s="26">
        <v>713</v>
      </c>
      <c r="N77" s="26" t="s">
        <v>71</v>
      </c>
      <c r="O77" s="26" t="s">
        <v>72</v>
      </c>
      <c r="P77" s="26">
        <v>45</v>
      </c>
      <c r="Q77" s="27">
        <v>11965</v>
      </c>
      <c r="R77" s="26">
        <v>0</v>
      </c>
      <c r="S77" s="26" t="s">
        <v>162</v>
      </c>
      <c r="T77" s="26" t="s">
        <v>83</v>
      </c>
      <c r="U77" s="26" t="str">
        <f t="shared" si="33"/>
        <v>SI</v>
      </c>
      <c r="V77" s="26">
        <f t="shared" si="32"/>
        <v>0</v>
      </c>
      <c r="W77" s="26" t="s">
        <v>101</v>
      </c>
      <c r="X77" s="26">
        <v>20</v>
      </c>
      <c r="Y77" s="26" t="s">
        <v>74</v>
      </c>
      <c r="Z77" s="26" t="s">
        <v>75</v>
      </c>
      <c r="AA77" s="28">
        <f t="shared" si="34"/>
        <v>0</v>
      </c>
      <c r="AB77" s="28">
        <f t="shared" si="35"/>
        <v>0</v>
      </c>
      <c r="AC77" s="28">
        <f t="shared" si="36"/>
        <v>0</v>
      </c>
      <c r="AD77" s="28">
        <f t="shared" si="26"/>
        <v>0</v>
      </c>
      <c r="AE77" s="28">
        <f t="shared" si="37"/>
        <v>0</v>
      </c>
      <c r="AF77" s="28">
        <f t="shared" si="28"/>
        <v>0</v>
      </c>
      <c r="AG77" s="28">
        <f t="shared" si="30"/>
        <v>0</v>
      </c>
      <c r="AH77" s="28">
        <f t="shared" si="31"/>
        <v>0</v>
      </c>
      <c r="AI77" s="28">
        <f t="shared" si="29"/>
        <v>0</v>
      </c>
      <c r="AJ77" s="28">
        <f t="shared" si="38"/>
        <v>0</v>
      </c>
      <c r="AM77" s="28">
        <f t="shared" si="39"/>
        <v>0</v>
      </c>
      <c r="AN77" s="26" t="s">
        <v>744</v>
      </c>
      <c r="AS77" s="26" t="s">
        <v>76</v>
      </c>
      <c r="AT77" s="26" t="s">
        <v>77</v>
      </c>
      <c r="AU77" s="26" t="s">
        <v>78</v>
      </c>
      <c r="AV77" s="31">
        <f t="shared" ca="1" si="27"/>
        <v>42376.365370833337</v>
      </c>
    </row>
    <row r="78" spans="1:48">
      <c r="A78" s="26">
        <v>7</v>
      </c>
      <c r="B78" s="26">
        <f>MONTH('Report Inputs'!$B$2)</f>
        <v>11</v>
      </c>
      <c r="C78" s="26">
        <f>YEAR('Report Inputs'!$B$2)</f>
        <v>2015</v>
      </c>
      <c r="D78" s="26">
        <v>66571</v>
      </c>
      <c r="F78" s="26" t="s">
        <v>65</v>
      </c>
      <c r="G78" s="26" t="s">
        <v>66</v>
      </c>
      <c r="H78" s="26" t="s">
        <v>67</v>
      </c>
      <c r="I78" s="26" t="s">
        <v>68</v>
      </c>
      <c r="J78" s="26" t="s">
        <v>69</v>
      </c>
      <c r="K78" s="26">
        <v>713</v>
      </c>
      <c r="L78" s="26" t="s">
        <v>70</v>
      </c>
      <c r="M78" s="26">
        <v>713</v>
      </c>
      <c r="N78" s="26" t="s">
        <v>71</v>
      </c>
      <c r="O78" s="26" t="s">
        <v>72</v>
      </c>
      <c r="P78" s="26">
        <v>45</v>
      </c>
      <c r="Q78" s="27">
        <v>11966</v>
      </c>
      <c r="R78" s="26">
        <v>0</v>
      </c>
      <c r="S78" s="26" t="s">
        <v>167</v>
      </c>
      <c r="T78" s="26" t="s">
        <v>83</v>
      </c>
      <c r="U78" s="26" t="str">
        <f t="shared" si="33"/>
        <v>PR</v>
      </c>
      <c r="V78" s="26">
        <f t="shared" si="32"/>
        <v>30</v>
      </c>
      <c r="W78" s="26" t="s">
        <v>101</v>
      </c>
      <c r="X78" s="26">
        <v>20</v>
      </c>
      <c r="Y78" s="26" t="s">
        <v>74</v>
      </c>
      <c r="Z78" s="26" t="s">
        <v>75</v>
      </c>
      <c r="AA78" s="28">
        <f t="shared" si="34"/>
        <v>0.42799999999999999</v>
      </c>
      <c r="AB78" s="28">
        <f t="shared" si="35"/>
        <v>9.9139999999999997</v>
      </c>
      <c r="AC78" s="28">
        <f t="shared" si="36"/>
        <v>9.8970000000000002</v>
      </c>
      <c r="AD78" s="28">
        <f t="shared" si="26"/>
        <v>0</v>
      </c>
      <c r="AE78" s="28">
        <f t="shared" si="37"/>
        <v>0.44500000000000001</v>
      </c>
      <c r="AF78" s="28">
        <f t="shared" si="28"/>
        <v>1990.38</v>
      </c>
      <c r="AG78" s="28">
        <f t="shared" si="30"/>
        <v>1.95</v>
      </c>
      <c r="AH78" s="28">
        <f t="shared" si="31"/>
        <v>221.39500000000001</v>
      </c>
      <c r="AI78" s="28">
        <f t="shared" si="29"/>
        <v>0</v>
      </c>
      <c r="AJ78" s="28">
        <f t="shared" si="38"/>
        <v>1767.0350000000001</v>
      </c>
      <c r="AK78" s="30">
        <f>'Report Inputs'!$F$2</f>
        <v>55.9</v>
      </c>
      <c r="AL78" s="28">
        <f>'Report Inputs'!$E$2</f>
        <v>1080</v>
      </c>
      <c r="AM78" s="28">
        <f t="shared" si="39"/>
        <v>120.804</v>
      </c>
      <c r="AN78" s="26" t="s">
        <v>744</v>
      </c>
      <c r="AS78" s="26" t="s">
        <v>76</v>
      </c>
      <c r="AT78" s="26" t="s">
        <v>77</v>
      </c>
      <c r="AU78" s="26" t="s">
        <v>78</v>
      </c>
      <c r="AV78" s="31">
        <f t="shared" ca="1" si="27"/>
        <v>42376.365370833337</v>
      </c>
    </row>
    <row r="79" spans="1:48">
      <c r="A79" s="26">
        <v>7</v>
      </c>
      <c r="B79" s="26">
        <f>MONTH('Report Inputs'!$B$2)</f>
        <v>11</v>
      </c>
      <c r="C79" s="26">
        <f>YEAR('Report Inputs'!$B$2)</f>
        <v>2015</v>
      </c>
      <c r="D79" s="26">
        <v>66571</v>
      </c>
      <c r="F79" s="26" t="s">
        <v>65</v>
      </c>
      <c r="G79" s="26" t="s">
        <v>66</v>
      </c>
      <c r="H79" s="26" t="s">
        <v>67</v>
      </c>
      <c r="I79" s="26" t="s">
        <v>68</v>
      </c>
      <c r="J79" s="26" t="s">
        <v>69</v>
      </c>
      <c r="K79" s="26">
        <v>713</v>
      </c>
      <c r="L79" s="26" t="s">
        <v>70</v>
      </c>
      <c r="M79" s="26">
        <v>713</v>
      </c>
      <c r="N79" s="26" t="s">
        <v>71</v>
      </c>
      <c r="O79" s="26" t="s">
        <v>72</v>
      </c>
      <c r="P79" s="26">
        <v>45</v>
      </c>
      <c r="Q79" s="27">
        <v>12008</v>
      </c>
      <c r="R79" s="26">
        <v>0</v>
      </c>
      <c r="S79" s="26" t="s">
        <v>207</v>
      </c>
      <c r="T79" s="26" t="s">
        <v>83</v>
      </c>
      <c r="U79" s="26" t="str">
        <f t="shared" si="33"/>
        <v>PR</v>
      </c>
      <c r="V79" s="26">
        <f t="shared" si="32"/>
        <v>30</v>
      </c>
      <c r="W79" s="26" t="s">
        <v>101</v>
      </c>
      <c r="X79" s="26">
        <v>5</v>
      </c>
      <c r="Y79" s="26" t="s">
        <v>194</v>
      </c>
      <c r="Z79" s="26" t="s">
        <v>75</v>
      </c>
      <c r="AA79" s="28">
        <f t="shared" si="34"/>
        <v>0.82399999999999995</v>
      </c>
      <c r="AB79" s="28">
        <f t="shared" si="35"/>
        <v>24.82</v>
      </c>
      <c r="AC79" s="28">
        <f t="shared" si="36"/>
        <v>24.699000000000002</v>
      </c>
      <c r="AD79" s="28">
        <f t="shared" si="26"/>
        <v>0</v>
      </c>
      <c r="AE79" s="28">
        <f t="shared" si="37"/>
        <v>0.94499999999999995</v>
      </c>
      <c r="AF79" s="28">
        <f t="shared" si="28"/>
        <v>1538.66</v>
      </c>
      <c r="AG79" s="28">
        <f t="shared" si="30"/>
        <v>4.99</v>
      </c>
      <c r="AH79" s="28">
        <f t="shared" si="31"/>
        <v>269.42500000000001</v>
      </c>
      <c r="AI79" s="28">
        <f t="shared" si="29"/>
        <v>1</v>
      </c>
      <c r="AJ79" s="28">
        <f t="shared" si="38"/>
        <v>1264.2449999999999</v>
      </c>
      <c r="AK79" s="30">
        <f>'Report Inputs'!$F$2</f>
        <v>55.9</v>
      </c>
      <c r="AL79" s="28">
        <f>'Report Inputs'!$E$2</f>
        <v>1080</v>
      </c>
      <c r="AM79" s="28">
        <f t="shared" si="39"/>
        <v>43.685000000000002</v>
      </c>
      <c r="AN79" s="26" t="s">
        <v>744</v>
      </c>
      <c r="AS79" s="26" t="s">
        <v>76</v>
      </c>
      <c r="AT79" s="26" t="s">
        <v>77</v>
      </c>
      <c r="AU79" s="26" t="s">
        <v>78</v>
      </c>
      <c r="AV79" s="31">
        <f t="shared" ca="1" si="27"/>
        <v>42376.365370833337</v>
      </c>
    </row>
    <row r="80" spans="1:48">
      <c r="A80" s="26">
        <v>7</v>
      </c>
      <c r="B80" s="26">
        <f>MONTH('Report Inputs'!$B$2)</f>
        <v>11</v>
      </c>
      <c r="C80" s="26">
        <f>YEAR('Report Inputs'!$B$2)</f>
        <v>2015</v>
      </c>
      <c r="D80" s="26">
        <v>66571</v>
      </c>
      <c r="F80" s="26" t="s">
        <v>65</v>
      </c>
      <c r="G80" s="26" t="s">
        <v>66</v>
      </c>
      <c r="H80" s="26" t="s">
        <v>67</v>
      </c>
      <c r="I80" s="26" t="s">
        <v>68</v>
      </c>
      <c r="J80" s="26" t="s">
        <v>69</v>
      </c>
      <c r="K80" s="26">
        <v>713</v>
      </c>
      <c r="L80" s="26" t="s">
        <v>70</v>
      </c>
      <c r="M80" s="26">
        <v>713</v>
      </c>
      <c r="N80" s="26" t="s">
        <v>71</v>
      </c>
      <c r="O80" s="26" t="s">
        <v>72</v>
      </c>
      <c r="P80" s="26">
        <v>45</v>
      </c>
      <c r="Q80" s="27">
        <v>12011</v>
      </c>
      <c r="R80" s="26">
        <v>0</v>
      </c>
      <c r="S80" s="26" t="s">
        <v>206</v>
      </c>
      <c r="T80" s="26" t="s">
        <v>83</v>
      </c>
      <c r="U80" s="26" t="str">
        <f t="shared" si="33"/>
        <v>PR</v>
      </c>
      <c r="V80" s="26">
        <f t="shared" si="32"/>
        <v>30</v>
      </c>
      <c r="W80" s="26" t="s">
        <v>101</v>
      </c>
      <c r="X80" s="26">
        <v>5</v>
      </c>
      <c r="Y80" s="26" t="s">
        <v>194</v>
      </c>
      <c r="Z80" s="26" t="s">
        <v>75</v>
      </c>
      <c r="AA80" s="28">
        <f t="shared" si="34"/>
        <v>1.869</v>
      </c>
      <c r="AB80" s="28">
        <f t="shared" si="35"/>
        <v>53.555</v>
      </c>
      <c r="AC80" s="28">
        <f t="shared" si="36"/>
        <v>53.383000000000003</v>
      </c>
      <c r="AD80" s="28">
        <f t="shared" si="26"/>
        <v>-1</v>
      </c>
      <c r="AE80" s="28">
        <f t="shared" si="37"/>
        <v>2.0409999999999999</v>
      </c>
      <c r="AF80" s="28">
        <f t="shared" si="28"/>
        <v>3076.86</v>
      </c>
      <c r="AG80" s="28">
        <f t="shared" si="30"/>
        <v>10.78</v>
      </c>
      <c r="AH80" s="28">
        <f t="shared" si="31"/>
        <v>338.13799999999998</v>
      </c>
      <c r="AI80" s="28">
        <f t="shared" si="29"/>
        <v>0</v>
      </c>
      <c r="AJ80" s="28">
        <f t="shared" si="38"/>
        <v>2727.942</v>
      </c>
      <c r="AK80" s="30">
        <f>'Report Inputs'!$F$2</f>
        <v>55.9</v>
      </c>
      <c r="AL80" s="28">
        <f>'Report Inputs'!$E$2</f>
        <v>1080</v>
      </c>
      <c r="AM80" s="28">
        <f t="shared" si="39"/>
        <v>94.260999999999996</v>
      </c>
      <c r="AN80" s="26" t="s">
        <v>744</v>
      </c>
      <c r="AS80" s="26" t="s">
        <v>76</v>
      </c>
      <c r="AT80" s="26" t="s">
        <v>77</v>
      </c>
      <c r="AU80" s="26" t="s">
        <v>78</v>
      </c>
      <c r="AV80" s="31">
        <f t="shared" ca="1" si="27"/>
        <v>42376.365370833337</v>
      </c>
    </row>
    <row r="81" spans="1:48">
      <c r="A81" s="26">
        <v>7</v>
      </c>
      <c r="B81" s="26">
        <f>MONTH('Report Inputs'!$B$2)</f>
        <v>11</v>
      </c>
      <c r="C81" s="26">
        <f>YEAR('Report Inputs'!$B$2)</f>
        <v>2015</v>
      </c>
      <c r="D81" s="26">
        <v>66571</v>
      </c>
      <c r="F81" s="26" t="s">
        <v>65</v>
      </c>
      <c r="G81" s="26" t="s">
        <v>66</v>
      </c>
      <c r="H81" s="26" t="s">
        <v>67</v>
      </c>
      <c r="I81" s="26" t="s">
        <v>68</v>
      </c>
      <c r="J81" s="26" t="s">
        <v>69</v>
      </c>
      <c r="K81" s="26">
        <v>713</v>
      </c>
      <c r="L81" s="26" t="s">
        <v>70</v>
      </c>
      <c r="M81" s="26">
        <v>713</v>
      </c>
      <c r="N81" s="26" t="s">
        <v>71</v>
      </c>
      <c r="O81" s="26" t="s">
        <v>72</v>
      </c>
      <c r="P81" s="26">
        <v>45</v>
      </c>
      <c r="Q81" s="27">
        <v>12181</v>
      </c>
      <c r="R81" s="26">
        <v>0</v>
      </c>
      <c r="S81" s="26" t="s">
        <v>176</v>
      </c>
      <c r="T81" s="26" t="s">
        <v>83</v>
      </c>
      <c r="U81" s="26" t="str">
        <f t="shared" si="33"/>
        <v>PR</v>
      </c>
      <c r="V81" s="26">
        <f t="shared" si="32"/>
        <v>30</v>
      </c>
      <c r="W81" s="26" t="s">
        <v>115</v>
      </c>
      <c r="X81" s="26">
        <v>29</v>
      </c>
      <c r="Y81" s="26" t="s">
        <v>74</v>
      </c>
      <c r="Z81" s="26" t="s">
        <v>75</v>
      </c>
      <c r="AA81" s="28">
        <f t="shared" si="34"/>
        <v>0.54300000000000004</v>
      </c>
      <c r="AB81" s="28">
        <f t="shared" si="35"/>
        <v>6.6360000000000001</v>
      </c>
      <c r="AC81" s="28">
        <f t="shared" si="36"/>
        <v>6.8929999999999998</v>
      </c>
      <c r="AD81" s="28">
        <f t="shared" si="26"/>
        <v>-1</v>
      </c>
      <c r="AE81" s="28">
        <f t="shared" si="37"/>
        <v>0.28599999999999998</v>
      </c>
      <c r="AF81" s="28">
        <f t="shared" si="28"/>
        <v>1177.3800000000001</v>
      </c>
      <c r="AG81" s="28">
        <f t="shared" si="30"/>
        <v>1.31</v>
      </c>
      <c r="AH81" s="28">
        <f t="shared" si="31"/>
        <v>253.90600000000001</v>
      </c>
      <c r="AI81" s="28">
        <f t="shared" si="29"/>
        <v>0</v>
      </c>
      <c r="AJ81" s="28">
        <f t="shared" si="38"/>
        <v>922.16399999999999</v>
      </c>
      <c r="AK81" s="30">
        <f>'Report Inputs'!$F$2</f>
        <v>55.9</v>
      </c>
      <c r="AL81" s="28">
        <f>'Report Inputs'!$E$2</f>
        <v>1080</v>
      </c>
      <c r="AM81" s="28">
        <f t="shared" si="39"/>
        <v>10.407</v>
      </c>
      <c r="AN81" s="26" t="s">
        <v>744</v>
      </c>
      <c r="AS81" s="26" t="s">
        <v>76</v>
      </c>
      <c r="AT81" s="26" t="s">
        <v>77</v>
      </c>
      <c r="AU81" s="26" t="s">
        <v>78</v>
      </c>
      <c r="AV81" s="31">
        <f t="shared" ca="1" si="27"/>
        <v>42376.365370833337</v>
      </c>
    </row>
    <row r="82" spans="1:48">
      <c r="A82" s="26">
        <v>7</v>
      </c>
      <c r="B82" s="26">
        <f>MONTH('Report Inputs'!$B$2)</f>
        <v>11</v>
      </c>
      <c r="C82" s="26">
        <f>YEAR('Report Inputs'!$B$2)</f>
        <v>2015</v>
      </c>
      <c r="D82" s="26">
        <v>66571</v>
      </c>
      <c r="F82" s="26" t="s">
        <v>65</v>
      </c>
      <c r="G82" s="26" t="s">
        <v>66</v>
      </c>
      <c r="H82" s="26" t="s">
        <v>67</v>
      </c>
      <c r="I82" s="26" t="s">
        <v>68</v>
      </c>
      <c r="J82" s="26" t="s">
        <v>69</v>
      </c>
      <c r="K82" s="26">
        <v>713</v>
      </c>
      <c r="L82" s="26" t="s">
        <v>70</v>
      </c>
      <c r="M82" s="26">
        <v>713</v>
      </c>
      <c r="N82" s="26" t="s">
        <v>71</v>
      </c>
      <c r="O82" s="26" t="s">
        <v>72</v>
      </c>
      <c r="P82" s="26">
        <v>45</v>
      </c>
      <c r="Q82" s="27">
        <v>12219</v>
      </c>
      <c r="R82" s="26">
        <v>0</v>
      </c>
      <c r="S82" s="26" t="s">
        <v>656</v>
      </c>
      <c r="T82" s="26" t="s">
        <v>83</v>
      </c>
      <c r="U82" s="26" t="str">
        <f t="shared" si="33"/>
        <v>PR</v>
      </c>
      <c r="V82" s="26">
        <f t="shared" si="32"/>
        <v>30</v>
      </c>
      <c r="W82" s="26" t="s">
        <v>88</v>
      </c>
      <c r="X82" s="26">
        <v>16</v>
      </c>
      <c r="Y82" s="26" t="s">
        <v>74</v>
      </c>
      <c r="Z82" s="26" t="s">
        <v>75</v>
      </c>
      <c r="AA82" s="28">
        <f t="shared" si="34"/>
        <v>0.40300000000000002</v>
      </c>
      <c r="AB82" s="28">
        <f t="shared" si="35"/>
        <v>9.4670000000000005</v>
      </c>
      <c r="AC82" s="28">
        <f t="shared" si="36"/>
        <v>9.3659999999999997</v>
      </c>
      <c r="AD82" s="28">
        <f t="shared" si="26"/>
        <v>1</v>
      </c>
      <c r="AE82" s="28">
        <f t="shared" si="37"/>
        <v>0.504</v>
      </c>
      <c r="AF82" s="28">
        <f t="shared" si="28"/>
        <v>3495.18</v>
      </c>
      <c r="AG82" s="28">
        <f t="shared" si="30"/>
        <v>1.81</v>
      </c>
      <c r="AH82" s="28">
        <f t="shared" si="31"/>
        <v>354.47199999999998</v>
      </c>
      <c r="AI82" s="28">
        <f t="shared" si="29"/>
        <v>0</v>
      </c>
      <c r="AJ82" s="28">
        <f t="shared" si="38"/>
        <v>3138.8980000000001</v>
      </c>
      <c r="AK82" s="30">
        <f>'Report Inputs'!$F$2</f>
        <v>55.9</v>
      </c>
      <c r="AL82" s="28">
        <f>'Report Inputs'!$E$2</f>
        <v>1080</v>
      </c>
      <c r="AM82" s="28">
        <f t="shared" si="39"/>
        <v>67.728999999999999</v>
      </c>
      <c r="AN82" s="26" t="s">
        <v>744</v>
      </c>
      <c r="AS82" s="26" t="s">
        <v>76</v>
      </c>
      <c r="AT82" s="26" t="s">
        <v>77</v>
      </c>
      <c r="AU82" s="26" t="s">
        <v>78</v>
      </c>
      <c r="AV82" s="31">
        <f t="shared" ca="1" si="27"/>
        <v>42376.365370833337</v>
      </c>
    </row>
    <row r="83" spans="1:48">
      <c r="A83" s="26">
        <v>7</v>
      </c>
      <c r="B83" s="26">
        <f>MONTH('Report Inputs'!$B$2)</f>
        <v>11</v>
      </c>
      <c r="C83" s="26">
        <f>YEAR('Report Inputs'!$B$2)</f>
        <v>2015</v>
      </c>
      <c r="D83" s="26">
        <v>66571</v>
      </c>
      <c r="F83" s="26" t="s">
        <v>65</v>
      </c>
      <c r="G83" s="26" t="s">
        <v>66</v>
      </c>
      <c r="H83" s="26" t="s">
        <v>67</v>
      </c>
      <c r="I83" s="26" t="s">
        <v>68</v>
      </c>
      <c r="J83" s="26" t="s">
        <v>69</v>
      </c>
      <c r="K83" s="26">
        <v>713</v>
      </c>
      <c r="L83" s="26" t="s">
        <v>70</v>
      </c>
      <c r="M83" s="26">
        <v>713</v>
      </c>
      <c r="N83" s="26" t="s">
        <v>71</v>
      </c>
      <c r="O83" s="26" t="s">
        <v>72</v>
      </c>
      <c r="P83" s="26">
        <v>45</v>
      </c>
      <c r="Q83" s="27">
        <v>12222</v>
      </c>
      <c r="R83" s="26">
        <v>0</v>
      </c>
      <c r="S83" s="26" t="s">
        <v>129</v>
      </c>
      <c r="T83" s="26" t="s">
        <v>83</v>
      </c>
      <c r="U83" s="26" t="str">
        <f t="shared" si="33"/>
        <v>PR</v>
      </c>
      <c r="V83" s="26">
        <f t="shared" si="32"/>
        <v>30</v>
      </c>
      <c r="W83" s="26" t="s">
        <v>126</v>
      </c>
      <c r="X83" s="26">
        <v>15</v>
      </c>
      <c r="Y83" s="26" t="s">
        <v>74</v>
      </c>
      <c r="Z83" s="26" t="s">
        <v>75</v>
      </c>
      <c r="AA83" s="28">
        <f t="shared" si="34"/>
        <v>0.65700000000000003</v>
      </c>
      <c r="AB83" s="28">
        <f t="shared" si="35"/>
        <v>14.967000000000001</v>
      </c>
      <c r="AC83" s="28">
        <f t="shared" si="36"/>
        <v>14.964</v>
      </c>
      <c r="AD83" s="28">
        <f t="shared" si="26"/>
        <v>0</v>
      </c>
      <c r="AE83" s="28">
        <f t="shared" si="37"/>
        <v>0.66</v>
      </c>
      <c r="AF83" s="28">
        <f t="shared" si="28"/>
        <v>2785.03</v>
      </c>
      <c r="AG83" s="28">
        <f t="shared" si="30"/>
        <v>2.95</v>
      </c>
      <c r="AH83" s="28">
        <f t="shared" si="31"/>
        <v>325.81299999999999</v>
      </c>
      <c r="AI83" s="28">
        <f t="shared" si="29"/>
        <v>0</v>
      </c>
      <c r="AJ83" s="28">
        <f t="shared" si="38"/>
        <v>2456.2669999999998</v>
      </c>
      <c r="AK83" s="30">
        <f>'Report Inputs'!$F$2</f>
        <v>55.9</v>
      </c>
      <c r="AL83" s="28">
        <f>'Report Inputs'!$E$2</f>
        <v>1080</v>
      </c>
      <c r="AM83" s="28">
        <f t="shared" si="39"/>
        <v>53.174999999999997</v>
      </c>
      <c r="AN83" s="26" t="s">
        <v>744</v>
      </c>
      <c r="AS83" s="26" t="s">
        <v>76</v>
      </c>
      <c r="AT83" s="26" t="s">
        <v>77</v>
      </c>
      <c r="AU83" s="26" t="s">
        <v>78</v>
      </c>
      <c r="AV83" s="31">
        <f t="shared" ca="1" si="27"/>
        <v>42376.365370833337</v>
      </c>
    </row>
    <row r="84" spans="1:48">
      <c r="A84" s="26">
        <v>7</v>
      </c>
      <c r="B84" s="26">
        <f>MONTH('Report Inputs'!$B$2)</f>
        <v>11</v>
      </c>
      <c r="C84" s="26">
        <f>YEAR('Report Inputs'!$B$2)</f>
        <v>2015</v>
      </c>
      <c r="D84" s="26">
        <v>66571</v>
      </c>
      <c r="F84" s="26" t="s">
        <v>65</v>
      </c>
      <c r="G84" s="26" t="s">
        <v>66</v>
      </c>
      <c r="H84" s="26" t="s">
        <v>67</v>
      </c>
      <c r="I84" s="26" t="s">
        <v>68</v>
      </c>
      <c r="J84" s="26" t="s">
        <v>69</v>
      </c>
      <c r="K84" s="26">
        <v>713</v>
      </c>
      <c r="L84" s="26" t="s">
        <v>70</v>
      </c>
      <c r="M84" s="26">
        <v>713</v>
      </c>
      <c r="N84" s="26" t="s">
        <v>71</v>
      </c>
      <c r="O84" s="26" t="s">
        <v>72</v>
      </c>
      <c r="P84" s="26">
        <v>45</v>
      </c>
      <c r="Q84" s="27">
        <v>12223</v>
      </c>
      <c r="R84" s="26">
        <v>0</v>
      </c>
      <c r="S84" s="26" t="s">
        <v>127</v>
      </c>
      <c r="T84" s="26" t="s">
        <v>83</v>
      </c>
      <c r="U84" s="26" t="str">
        <f t="shared" si="33"/>
        <v>PR</v>
      </c>
      <c r="V84" s="26">
        <f t="shared" si="32"/>
        <v>30</v>
      </c>
      <c r="W84" s="26" t="s">
        <v>126</v>
      </c>
      <c r="X84" s="26">
        <v>15</v>
      </c>
      <c r="Y84" s="26" t="s">
        <v>74</v>
      </c>
      <c r="Z84" s="26" t="s">
        <v>75</v>
      </c>
      <c r="AA84" s="28">
        <f t="shared" si="34"/>
        <v>1.484</v>
      </c>
      <c r="AB84" s="28">
        <f t="shared" si="35"/>
        <v>34.231999999999999</v>
      </c>
      <c r="AC84" s="28">
        <f t="shared" si="36"/>
        <v>34.204000000000001</v>
      </c>
      <c r="AD84" s="28">
        <f t="shared" si="26"/>
        <v>1</v>
      </c>
      <c r="AE84" s="28">
        <f t="shared" si="37"/>
        <v>1.512</v>
      </c>
      <c r="AF84" s="28">
        <f t="shared" si="28"/>
        <v>6091.52</v>
      </c>
      <c r="AG84" s="28">
        <f t="shared" si="30"/>
        <v>6.75</v>
      </c>
      <c r="AH84" s="28">
        <f t="shared" si="31"/>
        <v>466.93400000000003</v>
      </c>
      <c r="AI84" s="28">
        <f t="shared" si="29"/>
        <v>0</v>
      </c>
      <c r="AJ84" s="28">
        <f t="shared" si="38"/>
        <v>5617.8360000000002</v>
      </c>
      <c r="AK84" s="30">
        <f>'Report Inputs'!$F$2</f>
        <v>55.9</v>
      </c>
      <c r="AL84" s="28">
        <f>'Report Inputs'!$E$2</f>
        <v>1080</v>
      </c>
      <c r="AM84" s="28">
        <f t="shared" si="39"/>
        <v>121.62</v>
      </c>
      <c r="AN84" s="26" t="s">
        <v>744</v>
      </c>
      <c r="AS84" s="26" t="s">
        <v>76</v>
      </c>
      <c r="AT84" s="26" t="s">
        <v>77</v>
      </c>
      <c r="AU84" s="26" t="s">
        <v>78</v>
      </c>
      <c r="AV84" s="31">
        <f t="shared" ca="1" si="27"/>
        <v>42376.365370833337</v>
      </c>
    </row>
    <row r="85" spans="1:48">
      <c r="A85" s="26">
        <v>7</v>
      </c>
      <c r="B85" s="26">
        <f>MONTH('Report Inputs'!$B$2)</f>
        <v>11</v>
      </c>
      <c r="C85" s="26">
        <f>YEAR('Report Inputs'!$B$2)</f>
        <v>2015</v>
      </c>
      <c r="D85" s="26">
        <v>66571</v>
      </c>
      <c r="F85" s="26" t="s">
        <v>65</v>
      </c>
      <c r="G85" s="26" t="s">
        <v>66</v>
      </c>
      <c r="H85" s="26" t="s">
        <v>67</v>
      </c>
      <c r="I85" s="26" t="s">
        <v>68</v>
      </c>
      <c r="J85" s="26" t="s">
        <v>69</v>
      </c>
      <c r="K85" s="26">
        <v>713</v>
      </c>
      <c r="L85" s="26" t="s">
        <v>70</v>
      </c>
      <c r="M85" s="26">
        <v>713</v>
      </c>
      <c r="N85" s="26" t="s">
        <v>71</v>
      </c>
      <c r="O85" s="26" t="s">
        <v>72</v>
      </c>
      <c r="P85" s="26">
        <v>45</v>
      </c>
      <c r="Q85" s="27">
        <v>12224</v>
      </c>
      <c r="R85" s="26">
        <v>0</v>
      </c>
      <c r="S85" s="26" t="s">
        <v>128</v>
      </c>
      <c r="T85" s="26" t="s">
        <v>83</v>
      </c>
      <c r="U85" s="26" t="str">
        <f t="shared" si="33"/>
        <v>PR</v>
      </c>
      <c r="V85" s="26">
        <f t="shared" si="32"/>
        <v>30</v>
      </c>
      <c r="W85" s="26" t="s">
        <v>126</v>
      </c>
      <c r="X85" s="26">
        <v>15</v>
      </c>
      <c r="Y85" s="26" t="s">
        <v>74</v>
      </c>
      <c r="Z85" s="26" t="s">
        <v>75</v>
      </c>
      <c r="AA85" s="28">
        <f t="shared" si="34"/>
        <v>0.59899999999999998</v>
      </c>
      <c r="AB85" s="28">
        <f t="shared" si="35"/>
        <v>13.446999999999999</v>
      </c>
      <c r="AC85" s="28">
        <f t="shared" si="36"/>
        <v>13.454000000000001</v>
      </c>
      <c r="AD85" s="28">
        <f t="shared" si="26"/>
        <v>0</v>
      </c>
      <c r="AE85" s="28">
        <f t="shared" si="37"/>
        <v>0.59199999999999997</v>
      </c>
      <c r="AF85" s="28">
        <f t="shared" si="28"/>
        <v>2521.7199999999998</v>
      </c>
      <c r="AG85" s="28">
        <f t="shared" si="30"/>
        <v>2.65</v>
      </c>
      <c r="AH85" s="28">
        <f t="shared" si="31"/>
        <v>312.19</v>
      </c>
      <c r="AI85" s="28">
        <f t="shared" si="29"/>
        <v>0</v>
      </c>
      <c r="AJ85" s="28">
        <f t="shared" si="38"/>
        <v>2206.88</v>
      </c>
      <c r="AK85" s="30">
        <f>'Report Inputs'!$F$2</f>
        <v>55.9</v>
      </c>
      <c r="AL85" s="28">
        <f>'Report Inputs'!$E$2</f>
        <v>1080</v>
      </c>
      <c r="AM85" s="28">
        <f t="shared" si="39"/>
        <v>47.777000000000001</v>
      </c>
      <c r="AN85" s="26" t="s">
        <v>744</v>
      </c>
      <c r="AS85" s="26" t="s">
        <v>76</v>
      </c>
      <c r="AT85" s="26" t="s">
        <v>77</v>
      </c>
      <c r="AU85" s="26" t="s">
        <v>78</v>
      </c>
      <c r="AV85" s="31">
        <f t="shared" ca="1" si="27"/>
        <v>42376.365370833337</v>
      </c>
    </row>
    <row r="86" spans="1:48">
      <c r="A86" s="26">
        <v>7</v>
      </c>
      <c r="B86" s="26">
        <f>MONTH('Report Inputs'!$B$2)</f>
        <v>11</v>
      </c>
      <c r="C86" s="26">
        <f>YEAR('Report Inputs'!$B$2)</f>
        <v>2015</v>
      </c>
      <c r="D86" s="26">
        <v>66571</v>
      </c>
      <c r="F86" s="26" t="s">
        <v>65</v>
      </c>
      <c r="G86" s="26" t="s">
        <v>66</v>
      </c>
      <c r="H86" s="26" t="s">
        <v>67</v>
      </c>
      <c r="I86" s="26" t="s">
        <v>68</v>
      </c>
      <c r="J86" s="26" t="s">
        <v>69</v>
      </c>
      <c r="K86" s="26">
        <v>713</v>
      </c>
      <c r="L86" s="26" t="s">
        <v>70</v>
      </c>
      <c r="M86" s="26">
        <v>713</v>
      </c>
      <c r="N86" s="26" t="s">
        <v>71</v>
      </c>
      <c r="O86" s="26" t="s">
        <v>72</v>
      </c>
      <c r="P86" s="26">
        <v>45</v>
      </c>
      <c r="Q86" s="27">
        <v>12225</v>
      </c>
      <c r="R86" s="26">
        <v>0</v>
      </c>
      <c r="S86" s="26" t="s">
        <v>131</v>
      </c>
      <c r="T86" s="26" t="s">
        <v>83</v>
      </c>
      <c r="U86" s="26" t="str">
        <f t="shared" si="33"/>
        <v>PR</v>
      </c>
      <c r="V86" s="26">
        <f t="shared" ref="V86:V129" si="41">IF(ISNA(VLOOKUP($Q86,data,4,FALSE)),0,VLOOKUP($Q86,data,4,FALSE))</f>
        <v>30</v>
      </c>
      <c r="W86" s="26" t="s">
        <v>86</v>
      </c>
      <c r="X86" s="26">
        <v>16</v>
      </c>
      <c r="Y86" s="26" t="s">
        <v>74</v>
      </c>
      <c r="Z86" s="26" t="s">
        <v>75</v>
      </c>
      <c r="AA86" s="28">
        <f t="shared" si="34"/>
        <v>0.22700000000000001</v>
      </c>
      <c r="AB86" s="28">
        <f t="shared" si="35"/>
        <v>0.80900000000000005</v>
      </c>
      <c r="AC86" s="28">
        <f t="shared" si="36"/>
        <v>0.90800000000000003</v>
      </c>
      <c r="AD86" s="28">
        <f t="shared" si="26"/>
        <v>0</v>
      </c>
      <c r="AE86" s="28">
        <f t="shared" si="37"/>
        <v>0.128</v>
      </c>
      <c r="AF86" s="28">
        <f t="shared" si="28"/>
        <v>2131.9699999999998</v>
      </c>
      <c r="AG86" s="28">
        <f t="shared" si="30"/>
        <v>0.1</v>
      </c>
      <c r="AH86" s="28">
        <f t="shared" si="31"/>
        <v>295.38600000000002</v>
      </c>
      <c r="AI86" s="28">
        <f t="shared" si="29"/>
        <v>1</v>
      </c>
      <c r="AJ86" s="28">
        <f t="shared" si="38"/>
        <v>1836.4839999999999</v>
      </c>
      <c r="AK86" s="30">
        <f>'Report Inputs'!$F$2</f>
        <v>55.9</v>
      </c>
      <c r="AL86" s="28">
        <f>'Report Inputs'!$E$2</f>
        <v>1080</v>
      </c>
      <c r="AM86" s="28">
        <f t="shared" si="39"/>
        <v>69.81</v>
      </c>
      <c r="AN86" s="26" t="s">
        <v>744</v>
      </c>
      <c r="AS86" s="26" t="s">
        <v>76</v>
      </c>
      <c r="AT86" s="26" t="s">
        <v>77</v>
      </c>
      <c r="AU86" s="26" t="s">
        <v>78</v>
      </c>
      <c r="AV86" s="31">
        <f t="shared" ca="1" si="27"/>
        <v>42376.365370833337</v>
      </c>
    </row>
    <row r="87" spans="1:48" s="32" customFormat="1">
      <c r="A87" s="32">
        <v>7</v>
      </c>
      <c r="B87" s="32">
        <f>MONTH('Report Inputs'!$B$2)</f>
        <v>11</v>
      </c>
      <c r="C87" s="32">
        <f>YEAR('Report Inputs'!$B$2)</f>
        <v>2015</v>
      </c>
      <c r="D87" s="32">
        <v>66571</v>
      </c>
      <c r="F87" s="32" t="s">
        <v>65</v>
      </c>
      <c r="G87" s="32" t="s">
        <v>66</v>
      </c>
      <c r="H87" s="32" t="s">
        <v>67</v>
      </c>
      <c r="I87" s="32" t="s">
        <v>68</v>
      </c>
      <c r="J87" s="32" t="s">
        <v>69</v>
      </c>
      <c r="K87" s="32">
        <v>713</v>
      </c>
      <c r="L87" s="32" t="s">
        <v>70</v>
      </c>
      <c r="M87" s="32">
        <v>713</v>
      </c>
      <c r="N87" s="32" t="s">
        <v>71</v>
      </c>
      <c r="O87" s="32" t="s">
        <v>72</v>
      </c>
      <c r="P87" s="32">
        <v>45</v>
      </c>
      <c r="Q87" s="33">
        <v>12227</v>
      </c>
      <c r="R87" s="32">
        <v>0</v>
      </c>
      <c r="S87" s="32" t="s">
        <v>964</v>
      </c>
      <c r="T87" s="32" t="s">
        <v>668</v>
      </c>
      <c r="U87" s="26" t="str">
        <f t="shared" si="33"/>
        <v>PR</v>
      </c>
      <c r="V87" s="32">
        <f t="shared" si="41"/>
        <v>30</v>
      </c>
      <c r="W87" s="32" t="s">
        <v>86</v>
      </c>
      <c r="X87" s="32">
        <v>16</v>
      </c>
      <c r="Y87" s="32" t="s">
        <v>74</v>
      </c>
      <c r="Z87" s="32" t="s">
        <v>75</v>
      </c>
      <c r="AA87" s="29">
        <f>IF(ISNA(VLOOKUP($Q87,data,5,FALSE)),0,VLOOKUP($Q87,data,5,FALSE))*0.5</f>
        <v>0.42699999999999999</v>
      </c>
      <c r="AB87" s="29">
        <f>IF(ISNA(VLOOKUP($Q87,data,7,FALSE)),0,VLOOKUP($Q87,data,7,FALSE))*0.5</f>
        <v>1.6805000000000001</v>
      </c>
      <c r="AC87" s="29">
        <f>IF(ISNA(VLOOKUP($Q87,data,6,FALSE)),0,VLOOKUP($Q87,data,6,FALSE))*0.5</f>
        <v>1.8445</v>
      </c>
      <c r="AD87" s="29">
        <f t="shared" si="26"/>
        <v>0</v>
      </c>
      <c r="AE87" s="29">
        <f>IF(ISNA(VLOOKUP($Q87,data,13,FALSE)),0,VLOOKUP($Q87,data,13,FALSE))*0.5</f>
        <v>0.26300000000000001</v>
      </c>
      <c r="AF87" s="29">
        <f>IF(ISNA(VLOOKUP($Q87,data,9,FALSE)),0,VLOOKUP($Q87,data,9,FALSE))*0.5</f>
        <v>4095.89</v>
      </c>
      <c r="AG87" s="29">
        <f>IF(ISNA(VLOOKUP($Q87,data,10,FALSE)),0,VLOOKUP($Q87,data,10,FALSE))*0.5</f>
        <v>0.20499999999999999</v>
      </c>
      <c r="AH87" s="29">
        <f>IF(ISNA(VLOOKUP($Q87,data,11,FALSE)),0,VLOOKUP($Q87,data,11,FALSE))*0.5</f>
        <v>279.17849999999999</v>
      </c>
      <c r="AI87" s="29">
        <f t="shared" si="29"/>
        <v>0</v>
      </c>
      <c r="AJ87" s="29">
        <f>IF(ISNA(VLOOKUP($Q87,data,8,FALSE)),0,VLOOKUP($Q87,data,8,FALSE))*0.5</f>
        <v>3816.5065</v>
      </c>
      <c r="AK87" s="34">
        <f>'Report Inputs'!$F$2</f>
        <v>55.9</v>
      </c>
      <c r="AL87" s="29">
        <f>'Report Inputs'!$E$2</f>
        <v>1080</v>
      </c>
      <c r="AM87" s="29">
        <f>IF(ISNA(VLOOKUP($Q87,data,14,FALSE)),0,VLOOKUP($Q87,data,14,FALSE))*0.5</f>
        <v>145.07550000000001</v>
      </c>
      <c r="AN87" s="32" t="s">
        <v>744</v>
      </c>
      <c r="AS87" s="32" t="s">
        <v>76</v>
      </c>
      <c r="AT87" s="32" t="s">
        <v>77</v>
      </c>
      <c r="AU87" s="32" t="s">
        <v>78</v>
      </c>
      <c r="AV87" s="35">
        <f t="shared" ca="1" si="27"/>
        <v>42376.365370833337</v>
      </c>
    </row>
    <row r="88" spans="1:48" s="32" customFormat="1">
      <c r="A88" s="32">
        <v>7</v>
      </c>
      <c r="B88" s="32">
        <f>MONTH('Report Inputs'!$B$2)</f>
        <v>11</v>
      </c>
      <c r="C88" s="32">
        <f>YEAR('Report Inputs'!$B$2)</f>
        <v>2015</v>
      </c>
      <c r="D88" s="32">
        <v>66571</v>
      </c>
      <c r="F88" s="32" t="s">
        <v>65</v>
      </c>
      <c r="G88" s="32" t="s">
        <v>66</v>
      </c>
      <c r="H88" s="32" t="s">
        <v>67</v>
      </c>
      <c r="I88" s="32" t="s">
        <v>68</v>
      </c>
      <c r="J88" s="32" t="s">
        <v>69</v>
      </c>
      <c r="K88" s="32">
        <v>713</v>
      </c>
      <c r="L88" s="32" t="s">
        <v>70</v>
      </c>
      <c r="M88" s="32">
        <v>713</v>
      </c>
      <c r="N88" s="32" t="s">
        <v>71</v>
      </c>
      <c r="O88" s="32" t="s">
        <v>72</v>
      </c>
      <c r="P88" s="32">
        <v>45</v>
      </c>
      <c r="Q88" s="33">
        <v>12227</v>
      </c>
      <c r="R88" s="32">
        <v>0</v>
      </c>
      <c r="S88" s="32" t="s">
        <v>964</v>
      </c>
      <c r="T88" s="32" t="s">
        <v>1043</v>
      </c>
      <c r="U88" s="26" t="str">
        <f t="shared" si="33"/>
        <v>PR</v>
      </c>
      <c r="V88" s="32">
        <f t="shared" si="41"/>
        <v>30</v>
      </c>
      <c r="W88" s="32" t="s">
        <v>86</v>
      </c>
      <c r="X88" s="32">
        <v>16</v>
      </c>
      <c r="Y88" s="32" t="s">
        <v>74</v>
      </c>
      <c r="Z88" s="32" t="s">
        <v>75</v>
      </c>
      <c r="AA88" s="29">
        <f>IF(ISNA(VLOOKUP($Q88,data,5,FALSE)),0,VLOOKUP($Q88,data,5,FALSE))*0.5</f>
        <v>0.42699999999999999</v>
      </c>
      <c r="AB88" s="29">
        <f>IF(ISNA(VLOOKUP($Q88,data,7,FALSE)),0,VLOOKUP($Q88,data,7,FALSE))*0.5</f>
        <v>1.6805000000000001</v>
      </c>
      <c r="AC88" s="29">
        <f>IF(ISNA(VLOOKUP($Q88,data,6,FALSE)),0,VLOOKUP($Q88,data,6,FALSE))*0.5</f>
        <v>1.8445</v>
      </c>
      <c r="AD88" s="29">
        <f t="shared" si="26"/>
        <v>0</v>
      </c>
      <c r="AE88" s="29">
        <f>IF(ISNA(VLOOKUP($Q88,data,13,FALSE)),0,VLOOKUP($Q88,data,13,FALSE))*0.5</f>
        <v>0.26300000000000001</v>
      </c>
      <c r="AF88" s="29">
        <f>IF(ISNA(VLOOKUP($Q88,data,9,FALSE)),0,VLOOKUP($Q88,data,9,FALSE))*0.5</f>
        <v>4095.89</v>
      </c>
      <c r="AG88" s="29">
        <f>IF(ISNA(VLOOKUP($Q88,data,10,FALSE)),0,VLOOKUP($Q88,data,10,FALSE))*0.5</f>
        <v>0.20499999999999999</v>
      </c>
      <c r="AH88" s="29">
        <f>IF(ISNA(VLOOKUP($Q88,data,11,FALSE)),0,VLOOKUP($Q88,data,11,FALSE))*0.5</f>
        <v>279.17849999999999</v>
      </c>
      <c r="AI88" s="29">
        <f t="shared" si="29"/>
        <v>0</v>
      </c>
      <c r="AJ88" s="29">
        <f>IF(ISNA(VLOOKUP($Q88,data,8,FALSE)),0,VLOOKUP($Q88,data,8,FALSE))*0.5</f>
        <v>3816.5065</v>
      </c>
      <c r="AK88" s="34">
        <f>'Report Inputs'!$F$2</f>
        <v>55.9</v>
      </c>
      <c r="AL88" s="29">
        <f>'Report Inputs'!$E$2</f>
        <v>1080</v>
      </c>
      <c r="AM88" s="29">
        <f>IF(ISNA(VLOOKUP($Q88,data,14,FALSE)),0,VLOOKUP($Q88,data,14,FALSE))*0.5</f>
        <v>145.07550000000001</v>
      </c>
      <c r="AN88" s="32" t="s">
        <v>744</v>
      </c>
      <c r="AS88" s="32" t="s">
        <v>76</v>
      </c>
      <c r="AT88" s="32" t="s">
        <v>77</v>
      </c>
      <c r="AU88" s="32" t="s">
        <v>78</v>
      </c>
      <c r="AV88" s="35">
        <f t="shared" ca="1" si="27"/>
        <v>42376.365370833337</v>
      </c>
    </row>
    <row r="89" spans="1:48">
      <c r="A89" s="26">
        <v>7</v>
      </c>
      <c r="B89" s="26">
        <f>MONTH('Report Inputs'!$B$2)</f>
        <v>11</v>
      </c>
      <c r="C89" s="26">
        <f>YEAR('Report Inputs'!$B$2)</f>
        <v>2015</v>
      </c>
      <c r="D89" s="26">
        <v>66571</v>
      </c>
      <c r="F89" s="26" t="s">
        <v>65</v>
      </c>
      <c r="G89" s="26" t="s">
        <v>66</v>
      </c>
      <c r="H89" s="26" t="s">
        <v>67</v>
      </c>
      <c r="I89" s="26" t="s">
        <v>68</v>
      </c>
      <c r="J89" s="26" t="s">
        <v>69</v>
      </c>
      <c r="K89" s="26">
        <v>713</v>
      </c>
      <c r="L89" s="26" t="s">
        <v>70</v>
      </c>
      <c r="M89" s="26">
        <v>713</v>
      </c>
      <c r="N89" s="26" t="s">
        <v>71</v>
      </c>
      <c r="O89" s="26" t="s">
        <v>72</v>
      </c>
      <c r="P89" s="26">
        <v>45</v>
      </c>
      <c r="Q89" s="27">
        <v>12229</v>
      </c>
      <c r="R89" s="26">
        <v>0</v>
      </c>
      <c r="S89" s="26" t="s">
        <v>659</v>
      </c>
      <c r="T89" s="26" t="s">
        <v>83</v>
      </c>
      <c r="U89" s="26" t="str">
        <f t="shared" si="33"/>
        <v>PR</v>
      </c>
      <c r="V89" s="26">
        <f t="shared" si="41"/>
        <v>30</v>
      </c>
      <c r="W89" s="26" t="s">
        <v>88</v>
      </c>
      <c r="X89" s="26">
        <v>16</v>
      </c>
      <c r="Y89" s="26" t="s">
        <v>74</v>
      </c>
      <c r="Z89" s="26" t="s">
        <v>75</v>
      </c>
      <c r="AA89" s="28">
        <f t="shared" ref="AA89:AA120" si="42">IF(ISNA(VLOOKUP($Q89,data,5,FALSE)),0,VLOOKUP($Q89,data,5,FALSE))</f>
        <v>0.25600000000000001</v>
      </c>
      <c r="AB89" s="28">
        <f t="shared" ref="AB89:AB120" si="43">IF(ISNA(VLOOKUP($Q89,data,7,FALSE)),0,VLOOKUP($Q89,data,7,FALSE))</f>
        <v>6.2249999999999996</v>
      </c>
      <c r="AC89" s="28">
        <f>IF(ISNA(VLOOKUP($Q89,data,6,FALSE)),0,VLOOKUP($Q89,data,6,FALSE))</f>
        <v>6.15</v>
      </c>
      <c r="AD89" s="28">
        <f t="shared" si="26"/>
        <v>0</v>
      </c>
      <c r="AE89" s="28">
        <f t="shared" ref="AE89:AE120" si="44">IF(ISNA(VLOOKUP($Q89,data,13,FALSE)),0,VLOOKUP($Q89,data,13,FALSE))</f>
        <v>0.33100000000000002</v>
      </c>
      <c r="AF89" s="28">
        <f t="shared" ref="AF89:AF139" si="45">IF(ISNA(VLOOKUP($Q89,data,9,FALSE)),0,VLOOKUP($Q89,data,9,FALSE))</f>
        <v>2372.79</v>
      </c>
      <c r="AG89" s="28">
        <f t="shared" ref="AG89:AG139" si="46">IF(ISNA(VLOOKUP($Q89,data,10,FALSE)),0,VLOOKUP($Q89,data,10,FALSE))</f>
        <v>1.19</v>
      </c>
      <c r="AH89" s="28">
        <f t="shared" ref="AH89:AH138" si="47">IF(ISNA(VLOOKUP($Q89,data,11,FALSE)),0,VLOOKUP($Q89,data,11,FALSE))</f>
        <v>307.44400000000002</v>
      </c>
      <c r="AI89" s="28">
        <f t="shared" si="29"/>
        <v>1</v>
      </c>
      <c r="AJ89" s="28">
        <f t="shared" ref="AJ89:AJ93" si="48">IF(ISNA(VLOOKUP($Q89,data,8,FALSE)),0,VLOOKUP($Q89,data,8,FALSE))</f>
        <v>2064.1559999999999</v>
      </c>
      <c r="AK89" s="30">
        <f>'Report Inputs'!$F$2</f>
        <v>55.9</v>
      </c>
      <c r="AL89" s="28">
        <f>'Report Inputs'!$E$2</f>
        <v>1080</v>
      </c>
      <c r="AM89" s="28">
        <f t="shared" ref="AM89:AM120" si="49">IF(ISNA(VLOOKUP($Q89,data,14,FALSE)),0,VLOOKUP($Q89,data,14,FALSE))</f>
        <v>44.537999999999997</v>
      </c>
      <c r="AN89" s="26" t="s">
        <v>744</v>
      </c>
      <c r="AS89" s="26" t="s">
        <v>76</v>
      </c>
      <c r="AT89" s="26" t="s">
        <v>77</v>
      </c>
      <c r="AU89" s="26" t="s">
        <v>78</v>
      </c>
      <c r="AV89" s="31">
        <f t="shared" ca="1" si="27"/>
        <v>42376.365370833337</v>
      </c>
    </row>
    <row r="90" spans="1:48">
      <c r="A90" s="26">
        <v>7</v>
      </c>
      <c r="B90" s="26">
        <f>MONTH('Report Inputs'!$B$2)</f>
        <v>11</v>
      </c>
      <c r="C90" s="26">
        <f>YEAR('Report Inputs'!$B$2)</f>
        <v>2015</v>
      </c>
      <c r="D90" s="26">
        <v>66571</v>
      </c>
      <c r="F90" s="26" t="s">
        <v>65</v>
      </c>
      <c r="G90" s="26" t="s">
        <v>66</v>
      </c>
      <c r="H90" s="26" t="s">
        <v>67</v>
      </c>
      <c r="I90" s="26" t="s">
        <v>68</v>
      </c>
      <c r="J90" s="26" t="s">
        <v>69</v>
      </c>
      <c r="K90" s="26">
        <v>713</v>
      </c>
      <c r="L90" s="26" t="s">
        <v>70</v>
      </c>
      <c r="M90" s="26">
        <v>713</v>
      </c>
      <c r="N90" s="26" t="s">
        <v>71</v>
      </c>
      <c r="O90" s="26" t="s">
        <v>72</v>
      </c>
      <c r="P90" s="26">
        <v>45</v>
      </c>
      <c r="Q90" s="27">
        <v>12232</v>
      </c>
      <c r="R90" s="26">
        <v>0</v>
      </c>
      <c r="S90" s="26" t="s">
        <v>658</v>
      </c>
      <c r="T90" s="26" t="s">
        <v>83</v>
      </c>
      <c r="U90" s="26" t="str">
        <f t="shared" si="33"/>
        <v>PR</v>
      </c>
      <c r="V90" s="26">
        <f t="shared" si="41"/>
        <v>30</v>
      </c>
      <c r="W90" s="26" t="s">
        <v>88</v>
      </c>
      <c r="X90" s="26">
        <v>16</v>
      </c>
      <c r="Y90" s="26" t="s">
        <v>74</v>
      </c>
      <c r="Z90" s="26" t="s">
        <v>75</v>
      </c>
      <c r="AA90" s="28">
        <f t="shared" si="42"/>
        <v>0.32400000000000001</v>
      </c>
      <c r="AB90" s="28">
        <f t="shared" si="43"/>
        <v>7.6219999999999999</v>
      </c>
      <c r="AC90" s="28">
        <f>IF(ISNA(VLOOKUP($Q90,data,6,FALSE)),0,VLOOKUP($Q90,data,6,FALSE))*0.5</f>
        <v>3.77</v>
      </c>
      <c r="AD90" s="28">
        <f t="shared" si="26"/>
        <v>-4</v>
      </c>
      <c r="AE90" s="28">
        <f t="shared" si="44"/>
        <v>0.40600000000000003</v>
      </c>
      <c r="AF90" s="28">
        <f t="shared" si="45"/>
        <v>2855.23</v>
      </c>
      <c r="AG90" s="28">
        <f t="shared" si="46"/>
        <v>1.46</v>
      </c>
      <c r="AH90" s="28">
        <f t="shared" si="47"/>
        <v>326.71499999999997</v>
      </c>
      <c r="AI90" s="28">
        <f t="shared" si="29"/>
        <v>0</v>
      </c>
      <c r="AJ90" s="28">
        <f t="shared" si="48"/>
        <v>2527.0549999999998</v>
      </c>
      <c r="AK90" s="30">
        <f>'Report Inputs'!$F$2</f>
        <v>55.9</v>
      </c>
      <c r="AL90" s="28">
        <f>'Report Inputs'!$E$2</f>
        <v>1080</v>
      </c>
      <c r="AM90" s="28">
        <f t="shared" si="49"/>
        <v>54.527999999999999</v>
      </c>
      <c r="AN90" s="26" t="s">
        <v>744</v>
      </c>
      <c r="AS90" s="26" t="s">
        <v>76</v>
      </c>
      <c r="AT90" s="26" t="s">
        <v>77</v>
      </c>
      <c r="AU90" s="26" t="s">
        <v>78</v>
      </c>
      <c r="AV90" s="31">
        <f t="shared" ca="1" si="27"/>
        <v>42376.365370833337</v>
      </c>
    </row>
    <row r="91" spans="1:48">
      <c r="A91" s="26">
        <v>7</v>
      </c>
      <c r="B91" s="26">
        <f>MONTH('Report Inputs'!$B$2)</f>
        <v>11</v>
      </c>
      <c r="C91" s="26">
        <f>YEAR('Report Inputs'!$B$2)</f>
        <v>2015</v>
      </c>
      <c r="D91" s="26">
        <v>66571</v>
      </c>
      <c r="F91" s="26" t="s">
        <v>65</v>
      </c>
      <c r="G91" s="26" t="s">
        <v>66</v>
      </c>
      <c r="H91" s="26" t="s">
        <v>67</v>
      </c>
      <c r="I91" s="26" t="s">
        <v>68</v>
      </c>
      <c r="J91" s="26" t="s">
        <v>69</v>
      </c>
      <c r="K91" s="26">
        <v>713</v>
      </c>
      <c r="L91" s="26" t="s">
        <v>70</v>
      </c>
      <c r="M91" s="26">
        <v>713</v>
      </c>
      <c r="N91" s="26" t="s">
        <v>71</v>
      </c>
      <c r="O91" s="26" t="s">
        <v>72</v>
      </c>
      <c r="P91" s="26">
        <v>45</v>
      </c>
      <c r="Q91" s="27">
        <v>12234</v>
      </c>
      <c r="R91" s="26">
        <v>0</v>
      </c>
      <c r="S91" s="26" t="s">
        <v>125</v>
      </c>
      <c r="T91" s="26" t="s">
        <v>80</v>
      </c>
      <c r="U91" s="26" t="str">
        <f t="shared" si="33"/>
        <v>PR</v>
      </c>
      <c r="V91" s="26">
        <f t="shared" si="41"/>
        <v>30</v>
      </c>
      <c r="W91" s="26" t="s">
        <v>126</v>
      </c>
      <c r="X91" s="26">
        <v>15</v>
      </c>
      <c r="Y91" s="26" t="s">
        <v>74</v>
      </c>
      <c r="Z91" s="26" t="s">
        <v>75</v>
      </c>
      <c r="AA91" s="28">
        <f t="shared" si="42"/>
        <v>0.85399999999999998</v>
      </c>
      <c r="AB91" s="28">
        <f t="shared" si="43"/>
        <v>19.704999999999998</v>
      </c>
      <c r="AC91" s="28">
        <f t="shared" ref="AC91:AC122" si="50">IF(ISNA(VLOOKUP($Q91,data,6,FALSE)),0,VLOOKUP($Q91,data,6,FALSE))</f>
        <v>19.687999999999999</v>
      </c>
      <c r="AD91" s="28">
        <f t="shared" si="26"/>
        <v>0</v>
      </c>
      <c r="AE91" s="28">
        <f t="shared" si="44"/>
        <v>0.871</v>
      </c>
      <c r="AF91" s="28">
        <f t="shared" si="45"/>
        <v>3596.56</v>
      </c>
      <c r="AG91" s="28">
        <f t="shared" si="46"/>
        <v>3.89</v>
      </c>
      <c r="AH91" s="28">
        <f t="shared" si="47"/>
        <v>358.78199999999998</v>
      </c>
      <c r="AI91" s="28">
        <f t="shared" si="29"/>
        <v>0</v>
      </c>
      <c r="AJ91" s="28">
        <f t="shared" si="48"/>
        <v>3233.8879999999999</v>
      </c>
      <c r="AK91" s="30">
        <f>'Report Inputs'!$F$2</f>
        <v>55.9</v>
      </c>
      <c r="AL91" s="28">
        <f>'Report Inputs'!$E$2</f>
        <v>1080</v>
      </c>
      <c r="AM91" s="28">
        <f t="shared" si="49"/>
        <v>70.010000000000005</v>
      </c>
      <c r="AN91" s="26" t="s">
        <v>744</v>
      </c>
      <c r="AS91" s="26" t="s">
        <v>76</v>
      </c>
      <c r="AT91" s="26" t="s">
        <v>77</v>
      </c>
      <c r="AU91" s="26" t="s">
        <v>78</v>
      </c>
      <c r="AV91" s="31">
        <f t="shared" ca="1" si="27"/>
        <v>42376.365370833337</v>
      </c>
    </row>
    <row r="92" spans="1:48">
      <c r="A92" s="26">
        <v>7</v>
      </c>
      <c r="B92" s="26">
        <f>MONTH('Report Inputs'!$B$2)</f>
        <v>11</v>
      </c>
      <c r="C92" s="26">
        <f>YEAR('Report Inputs'!$B$2)</f>
        <v>2015</v>
      </c>
      <c r="D92" s="26">
        <v>66571</v>
      </c>
      <c r="F92" s="26" t="s">
        <v>65</v>
      </c>
      <c r="G92" s="26" t="s">
        <v>66</v>
      </c>
      <c r="H92" s="26" t="s">
        <v>67</v>
      </c>
      <c r="I92" s="26" t="s">
        <v>68</v>
      </c>
      <c r="J92" s="26" t="s">
        <v>69</v>
      </c>
      <c r="K92" s="26">
        <v>713</v>
      </c>
      <c r="L92" s="26" t="s">
        <v>70</v>
      </c>
      <c r="M92" s="26">
        <v>713</v>
      </c>
      <c r="N92" s="26" t="s">
        <v>71</v>
      </c>
      <c r="O92" s="26" t="s">
        <v>72</v>
      </c>
      <c r="P92" s="26">
        <v>45</v>
      </c>
      <c r="Q92" s="27">
        <v>12399</v>
      </c>
      <c r="R92" s="26">
        <v>0</v>
      </c>
      <c r="S92" s="26" t="s">
        <v>215</v>
      </c>
      <c r="T92" s="26" t="s">
        <v>80</v>
      </c>
      <c r="U92" s="26" t="str">
        <f t="shared" si="33"/>
        <v>PR</v>
      </c>
      <c r="V92" s="26">
        <f t="shared" si="41"/>
        <v>30</v>
      </c>
      <c r="W92" s="26" t="s">
        <v>124</v>
      </c>
      <c r="X92" s="26">
        <v>14</v>
      </c>
      <c r="Y92" s="26" t="s">
        <v>194</v>
      </c>
      <c r="Z92" s="26" t="s">
        <v>75</v>
      </c>
      <c r="AA92" s="28">
        <f t="shared" si="42"/>
        <v>10.978999999999999</v>
      </c>
      <c r="AB92" s="28">
        <f t="shared" si="43"/>
        <v>0.249</v>
      </c>
      <c r="AC92" s="28">
        <f t="shared" si="50"/>
        <v>1.1240000000000001</v>
      </c>
      <c r="AD92" s="28">
        <f t="shared" si="26"/>
        <v>0</v>
      </c>
      <c r="AE92" s="28">
        <f t="shared" si="44"/>
        <v>10.103999999999999</v>
      </c>
      <c r="AF92" s="28">
        <f t="shared" si="45"/>
        <v>2413.5500000000002</v>
      </c>
      <c r="AG92" s="28">
        <f t="shared" si="46"/>
        <v>0</v>
      </c>
      <c r="AH92" s="28">
        <f t="shared" si="47"/>
        <v>375.12700000000001</v>
      </c>
      <c r="AI92" s="28">
        <f t="shared" si="29"/>
        <v>1</v>
      </c>
      <c r="AJ92" s="28">
        <f t="shared" si="48"/>
        <v>2038.423</v>
      </c>
      <c r="AK92" s="30">
        <f>'Report Inputs'!$F$2</f>
        <v>55.9</v>
      </c>
      <c r="AL92" s="28">
        <f>'Report Inputs'!$E$2</f>
        <v>1080</v>
      </c>
      <c r="AM92" s="28">
        <f t="shared" si="49"/>
        <v>0</v>
      </c>
      <c r="AN92" s="26" t="s">
        <v>744</v>
      </c>
      <c r="AS92" s="26" t="s">
        <v>76</v>
      </c>
      <c r="AT92" s="26" t="s">
        <v>77</v>
      </c>
      <c r="AU92" s="26" t="s">
        <v>78</v>
      </c>
      <c r="AV92" s="31">
        <f t="shared" ca="1" si="27"/>
        <v>42376.365370833337</v>
      </c>
    </row>
    <row r="93" spans="1:48">
      <c r="A93" s="26">
        <v>7</v>
      </c>
      <c r="B93" s="26">
        <f>MONTH('Report Inputs'!$B$2)</f>
        <v>11</v>
      </c>
      <c r="C93" s="26">
        <f>YEAR('Report Inputs'!$B$2)</f>
        <v>2015</v>
      </c>
      <c r="D93" s="26">
        <v>66571</v>
      </c>
      <c r="F93" s="26" t="s">
        <v>65</v>
      </c>
      <c r="G93" s="26" t="s">
        <v>66</v>
      </c>
      <c r="H93" s="26" t="s">
        <v>67</v>
      </c>
      <c r="I93" s="26" t="s">
        <v>68</v>
      </c>
      <c r="J93" s="26" t="s">
        <v>69</v>
      </c>
      <c r="K93" s="26">
        <v>713</v>
      </c>
      <c r="L93" s="26" t="s">
        <v>70</v>
      </c>
      <c r="M93" s="26">
        <v>713</v>
      </c>
      <c r="N93" s="26" t="s">
        <v>71</v>
      </c>
      <c r="O93" s="26" t="s">
        <v>72</v>
      </c>
      <c r="P93" s="26">
        <v>45</v>
      </c>
      <c r="Q93" s="27">
        <v>12400</v>
      </c>
      <c r="R93" s="26">
        <v>0</v>
      </c>
      <c r="S93" s="26" t="s">
        <v>121</v>
      </c>
      <c r="T93" s="26" t="s">
        <v>80</v>
      </c>
      <c r="U93" s="26" t="str">
        <f t="shared" si="33"/>
        <v>PR</v>
      </c>
      <c r="V93" s="26">
        <f t="shared" si="41"/>
        <v>30</v>
      </c>
      <c r="W93" s="26" t="s">
        <v>92</v>
      </c>
      <c r="X93" s="26">
        <v>3</v>
      </c>
      <c r="Y93" s="26" t="s">
        <v>74</v>
      </c>
      <c r="Z93" s="26" t="s">
        <v>75</v>
      </c>
      <c r="AA93" s="28">
        <f t="shared" si="42"/>
        <v>0.498</v>
      </c>
      <c r="AB93" s="28">
        <f t="shared" si="43"/>
        <v>11.089</v>
      </c>
      <c r="AC93" s="28">
        <f t="shared" si="50"/>
        <v>11.041</v>
      </c>
      <c r="AD93" s="28">
        <f t="shared" si="26"/>
        <v>1</v>
      </c>
      <c r="AE93" s="28">
        <f t="shared" si="44"/>
        <v>0.54600000000000004</v>
      </c>
      <c r="AF93" s="28">
        <f t="shared" si="45"/>
        <v>3183.02</v>
      </c>
      <c r="AG93" s="28">
        <f t="shared" si="46"/>
        <v>2.15</v>
      </c>
      <c r="AH93" s="28">
        <f t="shared" si="47"/>
        <v>340.91</v>
      </c>
      <c r="AI93" s="28">
        <f t="shared" si="29"/>
        <v>0</v>
      </c>
      <c r="AJ93" s="28">
        <f t="shared" si="48"/>
        <v>2839.96</v>
      </c>
      <c r="AK93" s="30">
        <f>'Report Inputs'!$F$2</f>
        <v>55.9</v>
      </c>
      <c r="AL93" s="28">
        <f>'Report Inputs'!$E$2</f>
        <v>1080</v>
      </c>
      <c r="AM93" s="28">
        <f t="shared" si="49"/>
        <v>275.15100000000001</v>
      </c>
      <c r="AN93" s="26" t="s">
        <v>744</v>
      </c>
      <c r="AS93" s="26" t="s">
        <v>76</v>
      </c>
      <c r="AT93" s="26" t="s">
        <v>77</v>
      </c>
      <c r="AU93" s="26" t="s">
        <v>78</v>
      </c>
      <c r="AV93" s="31">
        <f t="shared" ca="1" si="27"/>
        <v>42376.365370833337</v>
      </c>
    </row>
    <row r="94" spans="1:48">
      <c r="A94" s="26">
        <v>7</v>
      </c>
      <c r="B94" s="26">
        <f>MONTH('Report Inputs'!$B$2)</f>
        <v>11</v>
      </c>
      <c r="C94" s="26">
        <f>YEAR('Report Inputs'!$B$2)</f>
        <v>2015</v>
      </c>
      <c r="D94" s="26">
        <v>66571</v>
      </c>
      <c r="F94" s="26" t="s">
        <v>65</v>
      </c>
      <c r="G94" s="26" t="s">
        <v>66</v>
      </c>
      <c r="H94" s="26" t="s">
        <v>67</v>
      </c>
      <c r="I94" s="26" t="s">
        <v>68</v>
      </c>
      <c r="J94" s="26" t="s">
        <v>69</v>
      </c>
      <c r="K94" s="26">
        <v>713</v>
      </c>
      <c r="L94" s="26" t="s">
        <v>70</v>
      </c>
      <c r="M94" s="26">
        <v>713</v>
      </c>
      <c r="N94" s="26" t="s">
        <v>71</v>
      </c>
      <c r="O94" s="26" t="s">
        <v>72</v>
      </c>
      <c r="P94" s="26">
        <v>45</v>
      </c>
      <c r="Q94" s="27">
        <v>12412</v>
      </c>
      <c r="R94" s="26">
        <v>0</v>
      </c>
      <c r="S94" s="26" t="s">
        <v>120</v>
      </c>
      <c r="T94" s="26" t="s">
        <v>80</v>
      </c>
      <c r="U94" s="26" t="str">
        <f t="shared" si="33"/>
        <v>PR</v>
      </c>
      <c r="V94" s="26">
        <f t="shared" si="41"/>
        <v>30</v>
      </c>
      <c r="W94" s="26" t="s">
        <v>92</v>
      </c>
      <c r="X94" s="26">
        <v>3</v>
      </c>
      <c r="Y94" s="26" t="s">
        <v>74</v>
      </c>
      <c r="Z94" s="26" t="s">
        <v>75</v>
      </c>
      <c r="AA94" s="28">
        <f t="shared" si="42"/>
        <v>0.38300000000000001</v>
      </c>
      <c r="AB94" s="28">
        <f t="shared" si="43"/>
        <v>8.9749999999999996</v>
      </c>
      <c r="AC94" s="28">
        <f t="shared" si="50"/>
        <v>8.9169999999999998</v>
      </c>
      <c r="AD94" s="28">
        <f t="shared" si="26"/>
        <v>0</v>
      </c>
      <c r="AE94" s="28">
        <f t="shared" si="44"/>
        <v>0.441</v>
      </c>
      <c r="AF94" s="28">
        <f t="shared" si="45"/>
        <v>2619.02</v>
      </c>
      <c r="AG94" s="28">
        <f t="shared" si="46"/>
        <v>1.74</v>
      </c>
      <c r="AH94" s="28">
        <f t="shared" si="47"/>
        <v>318.661</v>
      </c>
      <c r="AI94" s="28">
        <f t="shared" si="29"/>
        <v>-1</v>
      </c>
      <c r="AJ94" s="28">
        <f t="shared" ref="AJ94:AJ139" si="51">IF(ISNA(VLOOKUP($Q94,data,8,FALSE)),0,VLOOKUP($Q94,data,8,FALSE))</f>
        <v>2298.6190000000001</v>
      </c>
      <c r="AK94" s="30">
        <f>'Report Inputs'!$F$2</f>
        <v>55.9</v>
      </c>
      <c r="AL94" s="28">
        <f>'Report Inputs'!$E$2</f>
        <v>1080</v>
      </c>
      <c r="AM94" s="28">
        <f t="shared" si="49"/>
        <v>222.703</v>
      </c>
      <c r="AN94" s="26" t="s">
        <v>744</v>
      </c>
      <c r="AS94" s="26" t="s">
        <v>76</v>
      </c>
      <c r="AT94" s="26" t="s">
        <v>77</v>
      </c>
      <c r="AU94" s="26" t="s">
        <v>78</v>
      </c>
      <c r="AV94" s="31">
        <f t="shared" ca="1" si="27"/>
        <v>42376.365370833337</v>
      </c>
    </row>
    <row r="95" spans="1:48">
      <c r="A95" s="26">
        <v>7</v>
      </c>
      <c r="B95" s="26">
        <f>MONTH('Report Inputs'!$B$2)</f>
        <v>11</v>
      </c>
      <c r="C95" s="26">
        <f>YEAR('Report Inputs'!$B$2)</f>
        <v>2015</v>
      </c>
      <c r="D95" s="26">
        <v>66571</v>
      </c>
      <c r="F95" s="26" t="s">
        <v>65</v>
      </c>
      <c r="G95" s="26" t="s">
        <v>66</v>
      </c>
      <c r="H95" s="26" t="s">
        <v>67</v>
      </c>
      <c r="I95" s="26" t="s">
        <v>68</v>
      </c>
      <c r="J95" s="26" t="s">
        <v>69</v>
      </c>
      <c r="K95" s="26">
        <v>713</v>
      </c>
      <c r="L95" s="26" t="s">
        <v>70</v>
      </c>
      <c r="M95" s="26">
        <v>713</v>
      </c>
      <c r="N95" s="26" t="s">
        <v>71</v>
      </c>
      <c r="O95" s="26" t="s">
        <v>72</v>
      </c>
      <c r="P95" s="26">
        <v>45</v>
      </c>
      <c r="Q95" s="27">
        <v>12833</v>
      </c>
      <c r="R95" s="26">
        <v>0</v>
      </c>
      <c r="S95" s="26" t="s">
        <v>140</v>
      </c>
      <c r="T95" s="26" t="s">
        <v>83</v>
      </c>
      <c r="U95" s="26" t="str">
        <f t="shared" si="33"/>
        <v>PR</v>
      </c>
      <c r="V95" s="26">
        <f t="shared" si="41"/>
        <v>30</v>
      </c>
      <c r="W95" s="26" t="s">
        <v>103</v>
      </c>
      <c r="X95" s="26">
        <v>20</v>
      </c>
      <c r="Y95" s="26" t="s">
        <v>74</v>
      </c>
      <c r="Z95" s="26" t="s">
        <v>75</v>
      </c>
      <c r="AA95" s="28">
        <f t="shared" si="42"/>
        <v>0.17199999999999999</v>
      </c>
      <c r="AB95" s="28">
        <f t="shared" si="43"/>
        <v>1.242</v>
      </c>
      <c r="AC95" s="28">
        <f t="shared" si="50"/>
        <v>1.2569999999999999</v>
      </c>
      <c r="AD95" s="28">
        <f t="shared" ref="AD95:AD126" si="52">ROUND(AC95,0)+ROUND(AE95,0)-ROUND(AA95,0)-ROUND(AB95,0)</f>
        <v>0</v>
      </c>
      <c r="AE95" s="28">
        <f t="shared" si="44"/>
        <v>0.157</v>
      </c>
      <c r="AF95" s="28">
        <f t="shared" si="45"/>
        <v>2335.4499999999998</v>
      </c>
      <c r="AG95" s="28">
        <f t="shared" si="46"/>
        <v>0.18</v>
      </c>
      <c r="AH95" s="28">
        <f t="shared" si="47"/>
        <v>182.24600000000001</v>
      </c>
      <c r="AI95" s="28">
        <f t="shared" si="29"/>
        <v>0</v>
      </c>
      <c r="AJ95" s="28">
        <f t="shared" si="51"/>
        <v>2153.0239999999999</v>
      </c>
      <c r="AK95" s="30">
        <f>'Report Inputs'!$F$2</f>
        <v>55.9</v>
      </c>
      <c r="AL95" s="28">
        <f>'Report Inputs'!$E$2</f>
        <v>1080</v>
      </c>
      <c r="AM95" s="28">
        <f t="shared" si="49"/>
        <v>22.350999999999999</v>
      </c>
      <c r="AN95" s="26" t="s">
        <v>744</v>
      </c>
      <c r="AS95" s="26" t="s">
        <v>76</v>
      </c>
      <c r="AT95" s="26" t="s">
        <v>77</v>
      </c>
      <c r="AU95" s="26" t="s">
        <v>78</v>
      </c>
      <c r="AV95" s="31">
        <f t="shared" ca="1" si="27"/>
        <v>42376.365370833337</v>
      </c>
    </row>
    <row r="96" spans="1:48">
      <c r="A96" s="26">
        <v>7</v>
      </c>
      <c r="B96" s="26">
        <f>MONTH('Report Inputs'!$B$2)</f>
        <v>11</v>
      </c>
      <c r="C96" s="26">
        <f>YEAR('Report Inputs'!$B$2)</f>
        <v>2015</v>
      </c>
      <c r="D96" s="26">
        <v>66571</v>
      </c>
      <c r="F96" s="26" t="s">
        <v>65</v>
      </c>
      <c r="G96" s="26" t="s">
        <v>66</v>
      </c>
      <c r="H96" s="26" t="s">
        <v>67</v>
      </c>
      <c r="I96" s="26" t="s">
        <v>68</v>
      </c>
      <c r="J96" s="26" t="s">
        <v>69</v>
      </c>
      <c r="K96" s="26">
        <v>713</v>
      </c>
      <c r="L96" s="26" t="s">
        <v>70</v>
      </c>
      <c r="M96" s="26">
        <v>713</v>
      </c>
      <c r="N96" s="26" t="s">
        <v>71</v>
      </c>
      <c r="O96" s="26" t="s">
        <v>72</v>
      </c>
      <c r="P96" s="26">
        <v>45</v>
      </c>
      <c r="Q96" s="27">
        <v>12834</v>
      </c>
      <c r="R96" s="26">
        <v>0</v>
      </c>
      <c r="S96" s="26" t="s">
        <v>143</v>
      </c>
      <c r="T96" s="26" t="s">
        <v>83</v>
      </c>
      <c r="U96" s="26" t="str">
        <f t="shared" si="33"/>
        <v>PR</v>
      </c>
      <c r="V96" s="26">
        <f t="shared" si="41"/>
        <v>30</v>
      </c>
      <c r="W96" s="26" t="s">
        <v>103</v>
      </c>
      <c r="X96" s="26">
        <v>20</v>
      </c>
      <c r="Y96" s="26" t="s">
        <v>74</v>
      </c>
      <c r="Z96" s="26" t="s">
        <v>75</v>
      </c>
      <c r="AA96" s="28">
        <f t="shared" si="42"/>
        <v>0.185</v>
      </c>
      <c r="AB96" s="28">
        <f t="shared" si="43"/>
        <v>1.325</v>
      </c>
      <c r="AC96" s="28">
        <f t="shared" si="50"/>
        <v>1.339</v>
      </c>
      <c r="AD96" s="28">
        <f t="shared" si="52"/>
        <v>0</v>
      </c>
      <c r="AE96" s="28">
        <f t="shared" si="44"/>
        <v>0.17100000000000001</v>
      </c>
      <c r="AF96" s="28">
        <f t="shared" si="45"/>
        <v>2486.86</v>
      </c>
      <c r="AG96" s="28">
        <f t="shared" si="46"/>
        <v>0.19</v>
      </c>
      <c r="AH96" s="28">
        <f t="shared" si="47"/>
        <v>188.81700000000001</v>
      </c>
      <c r="AI96" s="28">
        <f t="shared" si="29"/>
        <v>0</v>
      </c>
      <c r="AJ96" s="28">
        <f t="shared" si="51"/>
        <v>2297.8530000000001</v>
      </c>
      <c r="AK96" s="30">
        <f>'Report Inputs'!$F$2</f>
        <v>55.9</v>
      </c>
      <c r="AL96" s="28">
        <f>'Report Inputs'!$E$2</f>
        <v>1080</v>
      </c>
      <c r="AM96" s="28">
        <f t="shared" si="49"/>
        <v>23.853999999999999</v>
      </c>
      <c r="AN96" s="26" t="s">
        <v>744</v>
      </c>
      <c r="AS96" s="26" t="s">
        <v>76</v>
      </c>
      <c r="AT96" s="26" t="s">
        <v>77</v>
      </c>
      <c r="AU96" s="26" t="s">
        <v>78</v>
      </c>
      <c r="AV96" s="31">
        <f t="shared" ca="1" si="27"/>
        <v>42376.365370833337</v>
      </c>
    </row>
    <row r="97" spans="1:48">
      <c r="A97" s="26">
        <v>7</v>
      </c>
      <c r="B97" s="26">
        <f>MONTH('Report Inputs'!$B$2)</f>
        <v>11</v>
      </c>
      <c r="C97" s="26">
        <f>YEAR('Report Inputs'!$B$2)</f>
        <v>2015</v>
      </c>
      <c r="D97" s="26">
        <v>66571</v>
      </c>
      <c r="F97" s="26" t="s">
        <v>65</v>
      </c>
      <c r="G97" s="26" t="s">
        <v>66</v>
      </c>
      <c r="H97" s="26" t="s">
        <v>67</v>
      </c>
      <c r="I97" s="26" t="s">
        <v>68</v>
      </c>
      <c r="J97" s="26" t="s">
        <v>69</v>
      </c>
      <c r="K97" s="26">
        <v>713</v>
      </c>
      <c r="L97" s="26" t="s">
        <v>70</v>
      </c>
      <c r="M97" s="26">
        <v>713</v>
      </c>
      <c r="N97" s="26" t="s">
        <v>71</v>
      </c>
      <c r="O97" s="26" t="s">
        <v>72</v>
      </c>
      <c r="P97" s="26">
        <v>45</v>
      </c>
      <c r="Q97" s="27">
        <v>13029</v>
      </c>
      <c r="R97" s="26">
        <v>0</v>
      </c>
      <c r="S97" s="26" t="s">
        <v>146</v>
      </c>
      <c r="T97" s="26" t="s">
        <v>83</v>
      </c>
      <c r="U97" s="26" t="str">
        <f t="shared" si="33"/>
        <v>PR</v>
      </c>
      <c r="V97" s="26">
        <f t="shared" si="41"/>
        <v>30</v>
      </c>
      <c r="W97" s="26" t="s">
        <v>103</v>
      </c>
      <c r="X97" s="26">
        <v>20</v>
      </c>
      <c r="Y97" s="26" t="s">
        <v>74</v>
      </c>
      <c r="Z97" s="26" t="s">
        <v>75</v>
      </c>
      <c r="AA97" s="28">
        <f t="shared" si="42"/>
        <v>0.30099999999999999</v>
      </c>
      <c r="AB97" s="28">
        <f t="shared" si="43"/>
        <v>2.141</v>
      </c>
      <c r="AC97" s="28">
        <f t="shared" si="50"/>
        <v>2.1680000000000001</v>
      </c>
      <c r="AD97" s="28">
        <f t="shared" si="52"/>
        <v>0</v>
      </c>
      <c r="AE97" s="28">
        <f t="shared" si="44"/>
        <v>0.27400000000000002</v>
      </c>
      <c r="AF97" s="28">
        <f t="shared" si="45"/>
        <v>3966.07</v>
      </c>
      <c r="AG97" s="28">
        <f t="shared" si="46"/>
        <v>0.3</v>
      </c>
      <c r="AH97" s="28">
        <f t="shared" si="47"/>
        <v>253.00700000000001</v>
      </c>
      <c r="AI97" s="28">
        <f t="shared" si="29"/>
        <v>0</v>
      </c>
      <c r="AJ97" s="28">
        <f t="shared" si="51"/>
        <v>3712.7629999999999</v>
      </c>
      <c r="AK97" s="30">
        <f>'Report Inputs'!$F$2</f>
        <v>55.9</v>
      </c>
      <c r="AL97" s="28">
        <f>'Report Inputs'!$E$2</f>
        <v>1080</v>
      </c>
      <c r="AM97" s="28">
        <f t="shared" si="49"/>
        <v>38.542999999999999</v>
      </c>
      <c r="AN97" s="26" t="s">
        <v>744</v>
      </c>
      <c r="AS97" s="26" t="s">
        <v>76</v>
      </c>
      <c r="AT97" s="26" t="s">
        <v>77</v>
      </c>
      <c r="AU97" s="26" t="s">
        <v>78</v>
      </c>
      <c r="AV97" s="31">
        <f t="shared" ca="1" si="27"/>
        <v>42376.365370833337</v>
      </c>
    </row>
    <row r="98" spans="1:48">
      <c r="A98" s="26">
        <v>7</v>
      </c>
      <c r="B98" s="26">
        <f>MONTH('Report Inputs'!$B$2)</f>
        <v>11</v>
      </c>
      <c r="C98" s="26">
        <f>YEAR('Report Inputs'!$B$2)</f>
        <v>2015</v>
      </c>
      <c r="D98" s="26">
        <v>66571</v>
      </c>
      <c r="F98" s="26" t="s">
        <v>65</v>
      </c>
      <c r="G98" s="26" t="s">
        <v>66</v>
      </c>
      <c r="H98" s="26" t="s">
        <v>67</v>
      </c>
      <c r="I98" s="26" t="s">
        <v>68</v>
      </c>
      <c r="J98" s="26" t="s">
        <v>69</v>
      </c>
      <c r="K98" s="26">
        <v>713</v>
      </c>
      <c r="L98" s="26" t="s">
        <v>70</v>
      </c>
      <c r="M98" s="26">
        <v>713</v>
      </c>
      <c r="N98" s="26" t="s">
        <v>71</v>
      </c>
      <c r="O98" s="26" t="s">
        <v>72</v>
      </c>
      <c r="P98" s="26">
        <v>45</v>
      </c>
      <c r="Q98" s="27">
        <v>13030</v>
      </c>
      <c r="R98" s="26">
        <v>0</v>
      </c>
      <c r="S98" s="26" t="s">
        <v>151</v>
      </c>
      <c r="T98" s="26" t="s">
        <v>80</v>
      </c>
      <c r="U98" s="26" t="str">
        <f t="shared" si="33"/>
        <v>PR</v>
      </c>
      <c r="V98" s="26">
        <f t="shared" si="41"/>
        <v>29</v>
      </c>
      <c r="W98" s="26" t="s">
        <v>103</v>
      </c>
      <c r="X98" s="26">
        <v>20</v>
      </c>
      <c r="Y98" s="26" t="s">
        <v>74</v>
      </c>
      <c r="Z98" s="26" t="s">
        <v>75</v>
      </c>
      <c r="AA98" s="28">
        <f t="shared" si="42"/>
        <v>0.20100000000000001</v>
      </c>
      <c r="AB98" s="28">
        <f t="shared" si="43"/>
        <v>1.401</v>
      </c>
      <c r="AC98" s="28">
        <f t="shared" si="50"/>
        <v>1.421</v>
      </c>
      <c r="AD98" s="28">
        <f t="shared" si="52"/>
        <v>0</v>
      </c>
      <c r="AE98" s="28">
        <f t="shared" si="44"/>
        <v>0.18099999999999999</v>
      </c>
      <c r="AF98" s="28">
        <f t="shared" si="45"/>
        <v>2623.27</v>
      </c>
      <c r="AG98" s="28">
        <f t="shared" si="46"/>
        <v>0.2</v>
      </c>
      <c r="AH98" s="28">
        <f t="shared" si="47"/>
        <v>194.73599999999999</v>
      </c>
      <c r="AI98" s="28">
        <f t="shared" si="29"/>
        <v>0</v>
      </c>
      <c r="AJ98" s="28">
        <f t="shared" si="51"/>
        <v>2428.3339999999998</v>
      </c>
      <c r="AK98" s="30">
        <f>'Report Inputs'!$F$2</f>
        <v>55.9</v>
      </c>
      <c r="AL98" s="28">
        <f>'Report Inputs'!$E$2</f>
        <v>1080</v>
      </c>
      <c r="AM98" s="28">
        <f t="shared" si="49"/>
        <v>25.207999999999998</v>
      </c>
      <c r="AN98" s="26" t="s">
        <v>744</v>
      </c>
      <c r="AS98" s="26" t="s">
        <v>76</v>
      </c>
      <c r="AT98" s="26" t="s">
        <v>77</v>
      </c>
      <c r="AU98" s="26" t="s">
        <v>78</v>
      </c>
      <c r="AV98" s="31">
        <f t="shared" ca="1" si="27"/>
        <v>42376.365370833337</v>
      </c>
    </row>
    <row r="99" spans="1:48">
      <c r="A99" s="26">
        <v>7</v>
      </c>
      <c r="B99" s="26">
        <f>MONTH('Report Inputs'!$B$2)</f>
        <v>11</v>
      </c>
      <c r="C99" s="26">
        <f>YEAR('Report Inputs'!$B$2)</f>
        <v>2015</v>
      </c>
      <c r="D99" s="26">
        <v>66571</v>
      </c>
      <c r="F99" s="26" t="s">
        <v>65</v>
      </c>
      <c r="G99" s="26" t="s">
        <v>66</v>
      </c>
      <c r="H99" s="26" t="s">
        <v>67</v>
      </c>
      <c r="I99" s="26" t="s">
        <v>68</v>
      </c>
      <c r="J99" s="26" t="s">
        <v>69</v>
      </c>
      <c r="K99" s="26">
        <v>713</v>
      </c>
      <c r="L99" s="26" t="s">
        <v>70</v>
      </c>
      <c r="M99" s="26">
        <v>713</v>
      </c>
      <c r="N99" s="26" t="s">
        <v>71</v>
      </c>
      <c r="O99" s="26" t="s">
        <v>72</v>
      </c>
      <c r="P99" s="26">
        <v>45</v>
      </c>
      <c r="Q99" s="27">
        <v>13031</v>
      </c>
      <c r="R99" s="26">
        <v>0</v>
      </c>
      <c r="S99" s="26" t="s">
        <v>142</v>
      </c>
      <c r="T99" s="26" t="s">
        <v>80</v>
      </c>
      <c r="U99" s="26" t="str">
        <f t="shared" si="33"/>
        <v>PR</v>
      </c>
      <c r="V99" s="26">
        <f t="shared" si="41"/>
        <v>30</v>
      </c>
      <c r="W99" s="26" t="s">
        <v>103</v>
      </c>
      <c r="X99" s="26">
        <v>20</v>
      </c>
      <c r="Y99" s="26" t="s">
        <v>74</v>
      </c>
      <c r="Z99" s="26" t="s">
        <v>75</v>
      </c>
      <c r="AA99" s="28">
        <f t="shared" si="42"/>
        <v>0.22</v>
      </c>
      <c r="AB99" s="28">
        <f t="shared" si="43"/>
        <v>1.661</v>
      </c>
      <c r="AC99" s="28">
        <f t="shared" si="50"/>
        <v>1.669</v>
      </c>
      <c r="AD99" s="28">
        <f t="shared" si="52"/>
        <v>0</v>
      </c>
      <c r="AE99" s="28">
        <f t="shared" si="44"/>
        <v>0.21199999999999999</v>
      </c>
      <c r="AF99" s="28">
        <f t="shared" si="45"/>
        <v>3096.01</v>
      </c>
      <c r="AG99" s="28">
        <f t="shared" si="46"/>
        <v>0.24</v>
      </c>
      <c r="AH99" s="28">
        <f t="shared" si="47"/>
        <v>215.25</v>
      </c>
      <c r="AI99" s="28">
        <f t="shared" si="29"/>
        <v>0</v>
      </c>
      <c r="AJ99" s="28">
        <f t="shared" si="51"/>
        <v>2880.52</v>
      </c>
      <c r="AK99" s="30">
        <f>'Report Inputs'!$F$2</f>
        <v>55.9</v>
      </c>
      <c r="AL99" s="28">
        <f>'Report Inputs'!$E$2</f>
        <v>1080</v>
      </c>
      <c r="AM99" s="28">
        <f t="shared" si="49"/>
        <v>29.902000000000001</v>
      </c>
      <c r="AN99" s="26" t="s">
        <v>744</v>
      </c>
      <c r="AS99" s="26" t="s">
        <v>76</v>
      </c>
      <c r="AT99" s="26" t="s">
        <v>77</v>
      </c>
      <c r="AU99" s="26" t="s">
        <v>78</v>
      </c>
      <c r="AV99" s="31">
        <f t="shared" ca="1" si="27"/>
        <v>42376.365370833337</v>
      </c>
    </row>
    <row r="100" spans="1:48">
      <c r="A100" s="26">
        <v>7</v>
      </c>
      <c r="B100" s="26">
        <f>MONTH('Report Inputs'!$B$2)</f>
        <v>11</v>
      </c>
      <c r="C100" s="26">
        <f>YEAR('Report Inputs'!$B$2)</f>
        <v>2015</v>
      </c>
      <c r="D100" s="26">
        <v>66571</v>
      </c>
      <c r="F100" s="26" t="s">
        <v>65</v>
      </c>
      <c r="G100" s="26" t="s">
        <v>66</v>
      </c>
      <c r="H100" s="26" t="s">
        <v>67</v>
      </c>
      <c r="I100" s="26" t="s">
        <v>68</v>
      </c>
      <c r="J100" s="26" t="s">
        <v>69</v>
      </c>
      <c r="K100" s="26">
        <v>713</v>
      </c>
      <c r="L100" s="26" t="s">
        <v>70</v>
      </c>
      <c r="M100" s="26">
        <v>713</v>
      </c>
      <c r="N100" s="26" t="s">
        <v>71</v>
      </c>
      <c r="O100" s="26" t="s">
        <v>72</v>
      </c>
      <c r="P100" s="26">
        <v>45</v>
      </c>
      <c r="Q100" s="27">
        <v>13032</v>
      </c>
      <c r="R100" s="26">
        <v>0</v>
      </c>
      <c r="S100" s="26" t="s">
        <v>147</v>
      </c>
      <c r="T100" s="26" t="s">
        <v>80</v>
      </c>
      <c r="U100" s="26" t="str">
        <f t="shared" si="33"/>
        <v>PR</v>
      </c>
      <c r="V100" s="26">
        <f t="shared" si="41"/>
        <v>30</v>
      </c>
      <c r="W100" s="26" t="s">
        <v>103</v>
      </c>
      <c r="X100" s="26">
        <v>20</v>
      </c>
      <c r="Y100" s="26" t="s">
        <v>74</v>
      </c>
      <c r="Z100" s="26" t="s">
        <v>75</v>
      </c>
      <c r="AA100" s="28">
        <f t="shared" si="42"/>
        <v>0.185</v>
      </c>
      <c r="AB100" s="28">
        <f t="shared" si="43"/>
        <v>1.3340000000000001</v>
      </c>
      <c r="AC100" s="28">
        <f t="shared" si="50"/>
        <v>1.3480000000000001</v>
      </c>
      <c r="AD100" s="28">
        <f t="shared" si="52"/>
        <v>0</v>
      </c>
      <c r="AE100" s="28">
        <f t="shared" si="44"/>
        <v>0.17100000000000001</v>
      </c>
      <c r="AF100" s="28">
        <f t="shared" si="45"/>
        <v>2502.16</v>
      </c>
      <c r="AG100" s="28">
        <f t="shared" si="46"/>
        <v>0.19</v>
      </c>
      <c r="AH100" s="28">
        <f t="shared" si="47"/>
        <v>189.48099999999999</v>
      </c>
      <c r="AI100" s="28">
        <f t="shared" si="29"/>
        <v>1</v>
      </c>
      <c r="AJ100" s="28">
        <f t="shared" si="51"/>
        <v>2312.489</v>
      </c>
      <c r="AK100" s="30">
        <f>'Report Inputs'!$F$2</f>
        <v>55.9</v>
      </c>
      <c r="AL100" s="28">
        <f>'Report Inputs'!$E$2</f>
        <v>1080</v>
      </c>
      <c r="AM100" s="28">
        <f t="shared" si="49"/>
        <v>24.006</v>
      </c>
      <c r="AN100" s="26" t="s">
        <v>744</v>
      </c>
      <c r="AS100" s="26" t="s">
        <v>76</v>
      </c>
      <c r="AT100" s="26" t="s">
        <v>77</v>
      </c>
      <c r="AU100" s="26" t="s">
        <v>78</v>
      </c>
      <c r="AV100" s="31">
        <f t="shared" ca="1" si="27"/>
        <v>42376.365370833337</v>
      </c>
    </row>
    <row r="101" spans="1:48">
      <c r="A101" s="26">
        <v>7</v>
      </c>
      <c r="B101" s="26">
        <f>MONTH('Report Inputs'!$B$2)</f>
        <v>11</v>
      </c>
      <c r="C101" s="26">
        <f>YEAR('Report Inputs'!$B$2)</f>
        <v>2015</v>
      </c>
      <c r="D101" s="26">
        <v>66571</v>
      </c>
      <c r="F101" s="26" t="s">
        <v>65</v>
      </c>
      <c r="G101" s="26" t="s">
        <v>66</v>
      </c>
      <c r="H101" s="26" t="s">
        <v>67</v>
      </c>
      <c r="I101" s="26" t="s">
        <v>68</v>
      </c>
      <c r="J101" s="26" t="s">
        <v>69</v>
      </c>
      <c r="K101" s="26">
        <v>713</v>
      </c>
      <c r="L101" s="26" t="s">
        <v>70</v>
      </c>
      <c r="M101" s="26">
        <v>713</v>
      </c>
      <c r="N101" s="26" t="s">
        <v>71</v>
      </c>
      <c r="O101" s="26" t="s">
        <v>72</v>
      </c>
      <c r="P101" s="26">
        <v>45</v>
      </c>
      <c r="Q101" s="27">
        <v>13033</v>
      </c>
      <c r="R101" s="26">
        <v>0</v>
      </c>
      <c r="S101" s="26" t="s">
        <v>150</v>
      </c>
      <c r="T101" s="26" t="s">
        <v>83</v>
      </c>
      <c r="U101" s="26" t="str">
        <f t="shared" si="33"/>
        <v>PR</v>
      </c>
      <c r="V101" s="26">
        <f t="shared" si="41"/>
        <v>30</v>
      </c>
      <c r="W101" s="26" t="s">
        <v>103</v>
      </c>
      <c r="X101" s="26">
        <v>20</v>
      </c>
      <c r="Y101" s="26" t="s">
        <v>74</v>
      </c>
      <c r="Z101" s="26" t="s">
        <v>75</v>
      </c>
      <c r="AA101" s="28">
        <f t="shared" si="42"/>
        <v>0.40899999999999997</v>
      </c>
      <c r="AB101" s="28">
        <f t="shared" si="43"/>
        <v>2.9329999999999998</v>
      </c>
      <c r="AC101" s="28">
        <f t="shared" si="50"/>
        <v>2.9670000000000001</v>
      </c>
      <c r="AD101" s="28">
        <f t="shared" si="52"/>
        <v>0</v>
      </c>
      <c r="AE101" s="28">
        <f t="shared" si="44"/>
        <v>0.375</v>
      </c>
      <c r="AF101" s="28">
        <f t="shared" si="45"/>
        <v>5401.77</v>
      </c>
      <c r="AG101" s="28">
        <f t="shared" si="46"/>
        <v>0.42</v>
      </c>
      <c r="AH101" s="28">
        <f t="shared" si="47"/>
        <v>315.863</v>
      </c>
      <c r="AI101" s="28">
        <f t="shared" si="29"/>
        <v>1</v>
      </c>
      <c r="AJ101" s="28">
        <f t="shared" si="51"/>
        <v>5085.4870000000001</v>
      </c>
      <c r="AK101" s="30">
        <f>'Report Inputs'!$F$2</f>
        <v>55.9</v>
      </c>
      <c r="AL101" s="28">
        <f>'Report Inputs'!$E$2</f>
        <v>1080</v>
      </c>
      <c r="AM101" s="28">
        <f t="shared" si="49"/>
        <v>52.790999999999997</v>
      </c>
      <c r="AN101" s="26" t="s">
        <v>744</v>
      </c>
      <c r="AS101" s="26" t="s">
        <v>76</v>
      </c>
      <c r="AT101" s="26" t="s">
        <v>77</v>
      </c>
      <c r="AU101" s="26" t="s">
        <v>78</v>
      </c>
      <c r="AV101" s="31">
        <f t="shared" ca="1" si="27"/>
        <v>42376.365370833337</v>
      </c>
    </row>
    <row r="102" spans="1:48">
      <c r="A102" s="26">
        <v>7</v>
      </c>
      <c r="B102" s="26">
        <f>MONTH('Report Inputs'!$B$2)</f>
        <v>11</v>
      </c>
      <c r="C102" s="26">
        <f>YEAR('Report Inputs'!$B$2)</f>
        <v>2015</v>
      </c>
      <c r="D102" s="26">
        <v>66571</v>
      </c>
      <c r="F102" s="26" t="s">
        <v>65</v>
      </c>
      <c r="G102" s="26" t="s">
        <v>66</v>
      </c>
      <c r="H102" s="26" t="s">
        <v>67</v>
      </c>
      <c r="I102" s="26" t="s">
        <v>68</v>
      </c>
      <c r="J102" s="26" t="s">
        <v>69</v>
      </c>
      <c r="K102" s="26">
        <v>713</v>
      </c>
      <c r="L102" s="26" t="s">
        <v>70</v>
      </c>
      <c r="M102" s="26">
        <v>713</v>
      </c>
      <c r="N102" s="26" t="s">
        <v>71</v>
      </c>
      <c r="O102" s="26" t="s">
        <v>72</v>
      </c>
      <c r="P102" s="26">
        <v>45</v>
      </c>
      <c r="Q102" s="27">
        <v>13034</v>
      </c>
      <c r="R102" s="26">
        <v>0</v>
      </c>
      <c r="S102" s="26" t="s">
        <v>137</v>
      </c>
      <c r="T102" s="26" t="s">
        <v>83</v>
      </c>
      <c r="U102" s="26" t="str">
        <f t="shared" si="33"/>
        <v>PR</v>
      </c>
      <c r="V102" s="26">
        <f t="shared" si="41"/>
        <v>30</v>
      </c>
      <c r="W102" s="26" t="s">
        <v>103</v>
      </c>
      <c r="X102" s="26">
        <v>20</v>
      </c>
      <c r="Y102" s="26" t="s">
        <v>74</v>
      </c>
      <c r="Z102" s="26" t="s">
        <v>75</v>
      </c>
      <c r="AA102" s="28">
        <f t="shared" si="42"/>
        <v>0.16500000000000001</v>
      </c>
      <c r="AB102" s="28">
        <f t="shared" si="43"/>
        <v>1.2090000000000001</v>
      </c>
      <c r="AC102" s="28">
        <f t="shared" si="50"/>
        <v>1.22</v>
      </c>
      <c r="AD102" s="28">
        <f t="shared" si="52"/>
        <v>0</v>
      </c>
      <c r="AE102" s="28">
        <f t="shared" si="44"/>
        <v>0.154</v>
      </c>
      <c r="AF102" s="28">
        <f t="shared" si="45"/>
        <v>2276.7399999999998</v>
      </c>
      <c r="AG102" s="28">
        <f t="shared" si="46"/>
        <v>0.17</v>
      </c>
      <c r="AH102" s="28">
        <f t="shared" si="47"/>
        <v>179.69900000000001</v>
      </c>
      <c r="AI102" s="28">
        <f t="shared" si="29"/>
        <v>0</v>
      </c>
      <c r="AJ102" s="28">
        <f t="shared" si="51"/>
        <v>2096.8710000000001</v>
      </c>
      <c r="AK102" s="30">
        <f>'Report Inputs'!$F$2</f>
        <v>55.9</v>
      </c>
      <c r="AL102" s="28">
        <f>'Report Inputs'!$E$2</f>
        <v>1080</v>
      </c>
      <c r="AM102" s="28">
        <f t="shared" si="49"/>
        <v>21.766999999999999</v>
      </c>
      <c r="AN102" s="26" t="s">
        <v>744</v>
      </c>
      <c r="AS102" s="26" t="s">
        <v>76</v>
      </c>
      <c r="AT102" s="26" t="s">
        <v>77</v>
      </c>
      <c r="AU102" s="26" t="s">
        <v>78</v>
      </c>
      <c r="AV102" s="31">
        <f t="shared" ca="1" si="27"/>
        <v>42376.365370833337</v>
      </c>
    </row>
    <row r="103" spans="1:48">
      <c r="A103" s="26">
        <v>7</v>
      </c>
      <c r="B103" s="26">
        <f>MONTH('Report Inputs'!$B$2)</f>
        <v>11</v>
      </c>
      <c r="C103" s="26">
        <f>YEAR('Report Inputs'!$B$2)</f>
        <v>2015</v>
      </c>
      <c r="D103" s="26">
        <v>66571</v>
      </c>
      <c r="F103" s="26" t="s">
        <v>65</v>
      </c>
      <c r="G103" s="26" t="s">
        <v>66</v>
      </c>
      <c r="H103" s="26" t="s">
        <v>67</v>
      </c>
      <c r="I103" s="26" t="s">
        <v>68</v>
      </c>
      <c r="J103" s="26" t="s">
        <v>69</v>
      </c>
      <c r="K103" s="26">
        <v>713</v>
      </c>
      <c r="L103" s="26" t="s">
        <v>70</v>
      </c>
      <c r="M103" s="26">
        <v>713</v>
      </c>
      <c r="N103" s="26" t="s">
        <v>71</v>
      </c>
      <c r="O103" s="26" t="s">
        <v>72</v>
      </c>
      <c r="P103" s="26">
        <v>45</v>
      </c>
      <c r="Q103" s="27">
        <v>13035</v>
      </c>
      <c r="R103" s="26">
        <v>0</v>
      </c>
      <c r="S103" s="26" t="s">
        <v>135</v>
      </c>
      <c r="T103" s="26" t="s">
        <v>83</v>
      </c>
      <c r="U103" s="26" t="str">
        <f t="shared" si="33"/>
        <v>PR</v>
      </c>
      <c r="V103" s="26">
        <f t="shared" si="41"/>
        <v>30</v>
      </c>
      <c r="W103" s="26" t="s">
        <v>103</v>
      </c>
      <c r="X103" s="26">
        <v>20</v>
      </c>
      <c r="Y103" s="26" t="s">
        <v>74</v>
      </c>
      <c r="Z103" s="26" t="s">
        <v>75</v>
      </c>
      <c r="AA103" s="28">
        <f t="shared" si="42"/>
        <v>0.182</v>
      </c>
      <c r="AB103" s="28">
        <f t="shared" si="43"/>
        <v>1.3540000000000001</v>
      </c>
      <c r="AC103" s="28">
        <f t="shared" si="50"/>
        <v>1.363</v>
      </c>
      <c r="AD103" s="28">
        <f t="shared" si="52"/>
        <v>0</v>
      </c>
      <c r="AE103" s="28">
        <f t="shared" si="44"/>
        <v>0.17299999999999999</v>
      </c>
      <c r="AF103" s="28">
        <f t="shared" si="45"/>
        <v>2547.5500000000002</v>
      </c>
      <c r="AG103" s="28">
        <f t="shared" si="46"/>
        <v>0.19</v>
      </c>
      <c r="AH103" s="28">
        <f t="shared" si="47"/>
        <v>199.18899999999999</v>
      </c>
      <c r="AI103" s="28">
        <f t="shared" si="29"/>
        <v>1</v>
      </c>
      <c r="AJ103" s="28">
        <f t="shared" si="51"/>
        <v>2348.1709999999998</v>
      </c>
      <c r="AK103" s="30">
        <f>'Report Inputs'!$F$2</f>
        <v>55.9</v>
      </c>
      <c r="AL103" s="28">
        <f>'Report Inputs'!$E$2</f>
        <v>1080</v>
      </c>
      <c r="AM103" s="28">
        <f t="shared" si="49"/>
        <v>24.376999999999999</v>
      </c>
      <c r="AN103" s="26" t="s">
        <v>744</v>
      </c>
      <c r="AS103" s="26" t="s">
        <v>76</v>
      </c>
      <c r="AT103" s="26" t="s">
        <v>77</v>
      </c>
      <c r="AU103" s="26" t="s">
        <v>78</v>
      </c>
      <c r="AV103" s="31">
        <f t="shared" ca="1" si="27"/>
        <v>42376.365370833337</v>
      </c>
    </row>
    <row r="104" spans="1:48">
      <c r="A104" s="26">
        <v>7</v>
      </c>
      <c r="B104" s="26">
        <f>MONTH('Report Inputs'!$B$2)</f>
        <v>11</v>
      </c>
      <c r="C104" s="26">
        <f>YEAR('Report Inputs'!$B$2)</f>
        <v>2015</v>
      </c>
      <c r="D104" s="26">
        <v>66571</v>
      </c>
      <c r="F104" s="26" t="s">
        <v>65</v>
      </c>
      <c r="G104" s="26" t="s">
        <v>66</v>
      </c>
      <c r="H104" s="26" t="s">
        <v>67</v>
      </c>
      <c r="I104" s="26" t="s">
        <v>68</v>
      </c>
      <c r="J104" s="26" t="s">
        <v>69</v>
      </c>
      <c r="K104" s="26">
        <v>713</v>
      </c>
      <c r="L104" s="26" t="s">
        <v>70</v>
      </c>
      <c r="M104" s="26">
        <v>713</v>
      </c>
      <c r="N104" s="26" t="s">
        <v>71</v>
      </c>
      <c r="O104" s="26" t="s">
        <v>72</v>
      </c>
      <c r="P104" s="26">
        <v>45</v>
      </c>
      <c r="Q104" s="27">
        <v>13036</v>
      </c>
      <c r="R104" s="26">
        <v>0</v>
      </c>
      <c r="S104" s="26" t="s">
        <v>136</v>
      </c>
      <c r="T104" s="26" t="s">
        <v>83</v>
      </c>
      <c r="U104" s="26" t="str">
        <f t="shared" si="33"/>
        <v>PR</v>
      </c>
      <c r="V104" s="26">
        <f t="shared" si="41"/>
        <v>30</v>
      </c>
      <c r="W104" s="26" t="s">
        <v>103</v>
      </c>
      <c r="X104" s="26">
        <v>20</v>
      </c>
      <c r="Y104" s="26" t="s">
        <v>74</v>
      </c>
      <c r="Z104" s="26" t="s">
        <v>75</v>
      </c>
      <c r="AA104" s="28">
        <f t="shared" si="42"/>
        <v>0.17299999999999999</v>
      </c>
      <c r="AB104" s="28">
        <f t="shared" si="43"/>
        <v>1.256</v>
      </c>
      <c r="AC104" s="28">
        <f t="shared" si="50"/>
        <v>1.268</v>
      </c>
      <c r="AD104" s="28">
        <f t="shared" si="52"/>
        <v>0</v>
      </c>
      <c r="AE104" s="28">
        <f t="shared" si="44"/>
        <v>0.161</v>
      </c>
      <c r="AF104" s="28">
        <f t="shared" si="45"/>
        <v>2361.85</v>
      </c>
      <c r="AG104" s="28">
        <f t="shared" si="46"/>
        <v>0.18</v>
      </c>
      <c r="AH104" s="28">
        <f t="shared" si="47"/>
        <v>183.392</v>
      </c>
      <c r="AI104" s="28">
        <f t="shared" si="29"/>
        <v>1</v>
      </c>
      <c r="AJ104" s="28">
        <f t="shared" si="51"/>
        <v>2178.2779999999998</v>
      </c>
      <c r="AK104" s="30">
        <f>'Report Inputs'!$F$2</f>
        <v>55.9</v>
      </c>
      <c r="AL104" s="28">
        <f>'Report Inputs'!$E$2</f>
        <v>1080</v>
      </c>
      <c r="AM104" s="28">
        <f t="shared" si="49"/>
        <v>22.613</v>
      </c>
      <c r="AN104" s="26" t="s">
        <v>744</v>
      </c>
      <c r="AS104" s="26" t="s">
        <v>76</v>
      </c>
      <c r="AT104" s="26" t="s">
        <v>77</v>
      </c>
      <c r="AU104" s="26" t="s">
        <v>78</v>
      </c>
      <c r="AV104" s="31">
        <f t="shared" ca="1" si="27"/>
        <v>42376.365370833337</v>
      </c>
    </row>
    <row r="105" spans="1:48">
      <c r="A105" s="26">
        <v>7</v>
      </c>
      <c r="B105" s="26">
        <f>MONTH('Report Inputs'!$B$2)</f>
        <v>11</v>
      </c>
      <c r="C105" s="26">
        <f>YEAR('Report Inputs'!$B$2)</f>
        <v>2015</v>
      </c>
      <c r="D105" s="26">
        <v>66571</v>
      </c>
      <c r="F105" s="26" t="s">
        <v>65</v>
      </c>
      <c r="G105" s="26" t="s">
        <v>66</v>
      </c>
      <c r="H105" s="26" t="s">
        <v>67</v>
      </c>
      <c r="I105" s="26" t="s">
        <v>68</v>
      </c>
      <c r="J105" s="26" t="s">
        <v>69</v>
      </c>
      <c r="K105" s="26">
        <v>713</v>
      </c>
      <c r="L105" s="26" t="s">
        <v>70</v>
      </c>
      <c r="M105" s="26">
        <v>713</v>
      </c>
      <c r="N105" s="26" t="s">
        <v>71</v>
      </c>
      <c r="O105" s="26" t="s">
        <v>72</v>
      </c>
      <c r="P105" s="26">
        <v>45</v>
      </c>
      <c r="Q105" s="27">
        <v>13037</v>
      </c>
      <c r="R105" s="26">
        <v>0</v>
      </c>
      <c r="S105" s="26" t="s">
        <v>138</v>
      </c>
      <c r="T105" s="26" t="s">
        <v>83</v>
      </c>
      <c r="U105" s="26" t="str">
        <f t="shared" si="33"/>
        <v>PR</v>
      </c>
      <c r="V105" s="26">
        <f t="shared" si="41"/>
        <v>30</v>
      </c>
      <c r="W105" s="26" t="s">
        <v>103</v>
      </c>
      <c r="X105" s="26">
        <v>20</v>
      </c>
      <c r="Y105" s="26" t="s">
        <v>74</v>
      </c>
      <c r="Z105" s="26" t="s">
        <v>75</v>
      </c>
      <c r="AA105" s="28">
        <f t="shared" si="42"/>
        <v>0.17599999999999999</v>
      </c>
      <c r="AB105" s="28">
        <f t="shared" si="43"/>
        <v>1.238</v>
      </c>
      <c r="AC105" s="28">
        <f t="shared" si="50"/>
        <v>1.2549999999999999</v>
      </c>
      <c r="AD105" s="28">
        <f t="shared" si="52"/>
        <v>0</v>
      </c>
      <c r="AE105" s="28">
        <f t="shared" si="44"/>
        <v>0.159</v>
      </c>
      <c r="AF105" s="28">
        <f t="shared" si="45"/>
        <v>2326.65</v>
      </c>
      <c r="AG105" s="28">
        <f t="shared" si="46"/>
        <v>0.18</v>
      </c>
      <c r="AH105" s="28">
        <f t="shared" si="47"/>
        <v>181.864</v>
      </c>
      <c r="AI105" s="28">
        <f t="shared" si="29"/>
        <v>0</v>
      </c>
      <c r="AJ105" s="28">
        <f t="shared" si="51"/>
        <v>2144.6060000000002</v>
      </c>
      <c r="AK105" s="30">
        <f>'Report Inputs'!$F$2</f>
        <v>55.9</v>
      </c>
      <c r="AL105" s="28">
        <f>'Report Inputs'!$E$2</f>
        <v>1080</v>
      </c>
      <c r="AM105" s="28">
        <f t="shared" si="49"/>
        <v>22.263000000000002</v>
      </c>
      <c r="AN105" s="26" t="s">
        <v>744</v>
      </c>
      <c r="AS105" s="26" t="s">
        <v>76</v>
      </c>
      <c r="AT105" s="26" t="s">
        <v>77</v>
      </c>
      <c r="AU105" s="26" t="s">
        <v>78</v>
      </c>
      <c r="AV105" s="31">
        <f t="shared" ca="1" si="27"/>
        <v>42376.365370833337</v>
      </c>
    </row>
    <row r="106" spans="1:48">
      <c r="A106" s="26">
        <v>7</v>
      </c>
      <c r="B106" s="26">
        <f>MONTH('Report Inputs'!$B$2)</f>
        <v>11</v>
      </c>
      <c r="C106" s="26">
        <f>YEAR('Report Inputs'!$B$2)</f>
        <v>2015</v>
      </c>
      <c r="D106" s="26">
        <v>66571</v>
      </c>
      <c r="F106" s="26" t="s">
        <v>65</v>
      </c>
      <c r="G106" s="26" t="s">
        <v>66</v>
      </c>
      <c r="H106" s="26" t="s">
        <v>67</v>
      </c>
      <c r="I106" s="26" t="s">
        <v>68</v>
      </c>
      <c r="J106" s="26" t="s">
        <v>69</v>
      </c>
      <c r="K106" s="26">
        <v>713</v>
      </c>
      <c r="L106" s="26" t="s">
        <v>70</v>
      </c>
      <c r="M106" s="26">
        <v>713</v>
      </c>
      <c r="N106" s="26" t="s">
        <v>71</v>
      </c>
      <c r="O106" s="26" t="s">
        <v>72</v>
      </c>
      <c r="P106" s="26">
        <v>45</v>
      </c>
      <c r="Q106" s="27">
        <v>13038</v>
      </c>
      <c r="R106" s="26">
        <v>0</v>
      </c>
      <c r="S106" s="26" t="s">
        <v>145</v>
      </c>
      <c r="T106" s="26" t="s">
        <v>83</v>
      </c>
      <c r="U106" s="26" t="str">
        <f t="shared" si="33"/>
        <v>PR</v>
      </c>
      <c r="V106" s="26">
        <f t="shared" si="41"/>
        <v>30</v>
      </c>
      <c r="W106" s="26" t="s">
        <v>103</v>
      </c>
      <c r="X106" s="26">
        <v>20</v>
      </c>
      <c r="Y106" s="26" t="s">
        <v>74</v>
      </c>
      <c r="Z106" s="26" t="s">
        <v>75</v>
      </c>
      <c r="AA106" s="28">
        <f t="shared" si="42"/>
        <v>0.22900000000000001</v>
      </c>
      <c r="AB106" s="28">
        <f t="shared" si="43"/>
        <v>1.661</v>
      </c>
      <c r="AC106" s="28">
        <f t="shared" si="50"/>
        <v>1.6779999999999999</v>
      </c>
      <c r="AD106" s="28">
        <f t="shared" si="52"/>
        <v>0</v>
      </c>
      <c r="AE106" s="28">
        <f t="shared" si="44"/>
        <v>0.21199999999999999</v>
      </c>
      <c r="AF106" s="28">
        <f t="shared" si="45"/>
        <v>3093.2</v>
      </c>
      <c r="AG106" s="28">
        <f t="shared" si="46"/>
        <v>0.23</v>
      </c>
      <c r="AH106" s="28">
        <f t="shared" si="47"/>
        <v>215.12899999999999</v>
      </c>
      <c r="AI106" s="28">
        <f t="shared" si="29"/>
        <v>0</v>
      </c>
      <c r="AJ106" s="28">
        <f t="shared" si="51"/>
        <v>2877.8409999999999</v>
      </c>
      <c r="AK106" s="30">
        <f>'Report Inputs'!$F$2</f>
        <v>55.9</v>
      </c>
      <c r="AL106" s="28">
        <f>'Report Inputs'!$E$2</f>
        <v>1080</v>
      </c>
      <c r="AM106" s="28">
        <f t="shared" si="49"/>
        <v>29.875</v>
      </c>
      <c r="AN106" s="26" t="s">
        <v>744</v>
      </c>
      <c r="AS106" s="26" t="s">
        <v>76</v>
      </c>
      <c r="AT106" s="26" t="s">
        <v>77</v>
      </c>
      <c r="AU106" s="26" t="s">
        <v>78</v>
      </c>
      <c r="AV106" s="31">
        <f t="shared" ca="1" si="27"/>
        <v>42376.365370833337</v>
      </c>
    </row>
    <row r="107" spans="1:48">
      <c r="A107" s="26">
        <v>7</v>
      </c>
      <c r="B107" s="26">
        <f>MONTH('Report Inputs'!$B$2)</f>
        <v>11</v>
      </c>
      <c r="C107" s="26">
        <f>YEAR('Report Inputs'!$B$2)</f>
        <v>2015</v>
      </c>
      <c r="D107" s="26">
        <v>66571</v>
      </c>
      <c r="F107" s="26" t="s">
        <v>65</v>
      </c>
      <c r="G107" s="26" t="s">
        <v>66</v>
      </c>
      <c r="H107" s="26" t="s">
        <v>67</v>
      </c>
      <c r="I107" s="26" t="s">
        <v>68</v>
      </c>
      <c r="J107" s="26" t="s">
        <v>69</v>
      </c>
      <c r="K107" s="26">
        <v>713</v>
      </c>
      <c r="L107" s="26" t="s">
        <v>70</v>
      </c>
      <c r="M107" s="26">
        <v>713</v>
      </c>
      <c r="N107" s="26" t="s">
        <v>71</v>
      </c>
      <c r="O107" s="26" t="s">
        <v>72</v>
      </c>
      <c r="P107" s="26">
        <v>45</v>
      </c>
      <c r="Q107" s="27">
        <v>13039</v>
      </c>
      <c r="R107" s="26">
        <v>0</v>
      </c>
      <c r="S107" s="26" t="s">
        <v>148</v>
      </c>
      <c r="T107" s="26" t="s">
        <v>83</v>
      </c>
      <c r="U107" s="26" t="str">
        <f t="shared" si="33"/>
        <v>PR</v>
      </c>
      <c r="V107" s="26">
        <f t="shared" si="41"/>
        <v>30</v>
      </c>
      <c r="W107" s="26" t="s">
        <v>103</v>
      </c>
      <c r="X107" s="26">
        <v>20</v>
      </c>
      <c r="Y107" s="26" t="s">
        <v>74</v>
      </c>
      <c r="Z107" s="26" t="s">
        <v>75</v>
      </c>
      <c r="AA107" s="28">
        <f t="shared" si="42"/>
        <v>0.26600000000000001</v>
      </c>
      <c r="AB107" s="28">
        <f t="shared" si="43"/>
        <v>1.907</v>
      </c>
      <c r="AC107" s="28">
        <f t="shared" si="50"/>
        <v>1.929</v>
      </c>
      <c r="AD107" s="28">
        <f t="shared" si="52"/>
        <v>0</v>
      </c>
      <c r="AE107" s="28">
        <f t="shared" si="44"/>
        <v>0.24399999999999999</v>
      </c>
      <c r="AF107" s="28">
        <f t="shared" si="45"/>
        <v>3542.84</v>
      </c>
      <c r="AG107" s="28">
        <f t="shared" si="46"/>
        <v>0.27</v>
      </c>
      <c r="AH107" s="28">
        <f t="shared" si="47"/>
        <v>234.64099999999999</v>
      </c>
      <c r="AI107" s="28">
        <f t="shared" si="29"/>
        <v>0</v>
      </c>
      <c r="AJ107" s="28">
        <f t="shared" si="51"/>
        <v>3307.9290000000001</v>
      </c>
      <c r="AK107" s="30">
        <f>'Report Inputs'!$F$2</f>
        <v>55.9</v>
      </c>
      <c r="AL107" s="28">
        <f>'Report Inputs'!$E$2</f>
        <v>1080</v>
      </c>
      <c r="AM107" s="28">
        <f t="shared" si="49"/>
        <v>34.340000000000003</v>
      </c>
      <c r="AN107" s="26" t="s">
        <v>744</v>
      </c>
      <c r="AS107" s="26" t="s">
        <v>76</v>
      </c>
      <c r="AT107" s="26" t="s">
        <v>77</v>
      </c>
      <c r="AU107" s="26" t="s">
        <v>78</v>
      </c>
      <c r="AV107" s="31">
        <f t="shared" ca="1" si="27"/>
        <v>42376.365370833337</v>
      </c>
    </row>
    <row r="108" spans="1:48">
      <c r="A108" s="26">
        <v>7</v>
      </c>
      <c r="B108" s="26">
        <f>MONTH('Report Inputs'!$B$2)</f>
        <v>11</v>
      </c>
      <c r="C108" s="26">
        <f>YEAR('Report Inputs'!$B$2)</f>
        <v>2015</v>
      </c>
      <c r="D108" s="26">
        <v>66571</v>
      </c>
      <c r="F108" s="26" t="s">
        <v>65</v>
      </c>
      <c r="G108" s="26" t="s">
        <v>66</v>
      </c>
      <c r="H108" s="26" t="s">
        <v>67</v>
      </c>
      <c r="I108" s="26" t="s">
        <v>68</v>
      </c>
      <c r="J108" s="26" t="s">
        <v>69</v>
      </c>
      <c r="K108" s="26">
        <v>713</v>
      </c>
      <c r="L108" s="26" t="s">
        <v>70</v>
      </c>
      <c r="M108" s="26">
        <v>713</v>
      </c>
      <c r="N108" s="26" t="s">
        <v>71</v>
      </c>
      <c r="O108" s="26" t="s">
        <v>72</v>
      </c>
      <c r="P108" s="26">
        <v>45</v>
      </c>
      <c r="Q108" s="27">
        <v>13040</v>
      </c>
      <c r="R108" s="26">
        <v>0</v>
      </c>
      <c r="S108" s="26" t="s">
        <v>144</v>
      </c>
      <c r="T108" s="26" t="s">
        <v>83</v>
      </c>
      <c r="U108" s="26" t="str">
        <f t="shared" si="33"/>
        <v>PR</v>
      </c>
      <c r="V108" s="26">
        <f t="shared" si="41"/>
        <v>30</v>
      </c>
      <c r="W108" s="26" t="s">
        <v>103</v>
      </c>
      <c r="X108" s="26">
        <v>20</v>
      </c>
      <c r="Y108" s="26" t="s">
        <v>74</v>
      </c>
      <c r="Z108" s="26" t="s">
        <v>75</v>
      </c>
      <c r="AA108" s="28">
        <f t="shared" si="42"/>
        <v>0.184</v>
      </c>
      <c r="AB108" s="28">
        <f t="shared" si="43"/>
        <v>1.298</v>
      </c>
      <c r="AC108" s="28">
        <f t="shared" si="50"/>
        <v>1.3149999999999999</v>
      </c>
      <c r="AD108" s="28">
        <f t="shared" si="52"/>
        <v>0</v>
      </c>
      <c r="AE108" s="28">
        <f t="shared" si="44"/>
        <v>0.16700000000000001</v>
      </c>
      <c r="AF108" s="28">
        <f t="shared" si="45"/>
        <v>2437.25</v>
      </c>
      <c r="AG108" s="28">
        <f t="shared" si="46"/>
        <v>0.18</v>
      </c>
      <c r="AH108" s="28">
        <f t="shared" si="47"/>
        <v>186.66399999999999</v>
      </c>
      <c r="AI108" s="28">
        <f t="shared" si="29"/>
        <v>0</v>
      </c>
      <c r="AJ108" s="28">
        <f t="shared" si="51"/>
        <v>2250.4059999999999</v>
      </c>
      <c r="AK108" s="30">
        <f>'Report Inputs'!$F$2</f>
        <v>55.9</v>
      </c>
      <c r="AL108" s="28">
        <f>'Report Inputs'!$E$2</f>
        <v>1080</v>
      </c>
      <c r="AM108" s="28">
        <f t="shared" si="49"/>
        <v>23.361000000000001</v>
      </c>
      <c r="AN108" s="26" t="s">
        <v>744</v>
      </c>
      <c r="AS108" s="26" t="s">
        <v>76</v>
      </c>
      <c r="AT108" s="26" t="s">
        <v>77</v>
      </c>
      <c r="AU108" s="26" t="s">
        <v>78</v>
      </c>
      <c r="AV108" s="31">
        <f t="shared" ca="1" si="27"/>
        <v>42376.365370833337</v>
      </c>
    </row>
    <row r="109" spans="1:48">
      <c r="A109" s="26">
        <v>7</v>
      </c>
      <c r="B109" s="26">
        <f>MONTH('Report Inputs'!$B$2)</f>
        <v>11</v>
      </c>
      <c r="C109" s="26">
        <f>YEAR('Report Inputs'!$B$2)</f>
        <v>2015</v>
      </c>
      <c r="D109" s="26">
        <v>66571</v>
      </c>
      <c r="F109" s="26" t="s">
        <v>65</v>
      </c>
      <c r="G109" s="26" t="s">
        <v>66</v>
      </c>
      <c r="H109" s="26" t="s">
        <v>67</v>
      </c>
      <c r="I109" s="26" t="s">
        <v>68</v>
      </c>
      <c r="J109" s="26" t="s">
        <v>69</v>
      </c>
      <c r="K109" s="26">
        <v>713</v>
      </c>
      <c r="L109" s="26" t="s">
        <v>70</v>
      </c>
      <c r="M109" s="26">
        <v>713</v>
      </c>
      <c r="N109" s="26" t="s">
        <v>71</v>
      </c>
      <c r="O109" s="26" t="s">
        <v>72</v>
      </c>
      <c r="P109" s="26">
        <v>45</v>
      </c>
      <c r="Q109" s="27">
        <v>13180</v>
      </c>
      <c r="R109" s="26">
        <v>0</v>
      </c>
      <c r="S109" s="26" t="s">
        <v>803</v>
      </c>
      <c r="T109" s="26" t="s">
        <v>80</v>
      </c>
      <c r="U109" s="26" t="str">
        <f t="shared" si="33"/>
        <v>PR</v>
      </c>
      <c r="V109" s="26">
        <f t="shared" si="41"/>
        <v>30</v>
      </c>
      <c r="W109" s="26" t="s">
        <v>94</v>
      </c>
      <c r="X109" s="26">
        <v>16</v>
      </c>
      <c r="Y109" s="26" t="s">
        <v>74</v>
      </c>
      <c r="Z109" s="26" t="s">
        <v>75</v>
      </c>
      <c r="AA109" s="28">
        <f t="shared" si="42"/>
        <v>0.45500000000000002</v>
      </c>
      <c r="AB109" s="28">
        <f t="shared" si="43"/>
        <v>17.878</v>
      </c>
      <c r="AC109" s="28">
        <f t="shared" si="50"/>
        <v>17.582000000000001</v>
      </c>
      <c r="AD109" s="28">
        <f t="shared" si="52"/>
        <v>1</v>
      </c>
      <c r="AE109" s="28">
        <f t="shared" si="44"/>
        <v>0.751</v>
      </c>
      <c r="AF109" s="28">
        <f t="shared" si="45"/>
        <v>2499.92</v>
      </c>
      <c r="AG109" s="28">
        <f t="shared" si="46"/>
        <v>3.55</v>
      </c>
      <c r="AH109" s="28">
        <f t="shared" si="47"/>
        <v>270.54899999999998</v>
      </c>
      <c r="AI109" s="28">
        <f t="shared" si="29"/>
        <v>-1</v>
      </c>
      <c r="AJ109" s="28">
        <f t="shared" si="51"/>
        <v>2225.8209999999999</v>
      </c>
      <c r="AK109" s="30">
        <f>'Report Inputs'!$F$2</f>
        <v>55.9</v>
      </c>
      <c r="AL109" s="28">
        <f>'Report Inputs'!$E$2</f>
        <v>1080</v>
      </c>
      <c r="AM109" s="28">
        <f t="shared" si="49"/>
        <v>49.432000000000002</v>
      </c>
      <c r="AN109" s="26" t="s">
        <v>744</v>
      </c>
      <c r="AS109" s="26" t="s">
        <v>76</v>
      </c>
      <c r="AT109" s="26" t="s">
        <v>77</v>
      </c>
      <c r="AU109" s="26" t="s">
        <v>78</v>
      </c>
      <c r="AV109" s="31">
        <f t="shared" ca="1" si="27"/>
        <v>42376.365370833337</v>
      </c>
    </row>
    <row r="110" spans="1:48">
      <c r="A110" s="26">
        <v>7</v>
      </c>
      <c r="B110" s="26">
        <f>MONTH('Report Inputs'!$B$2)</f>
        <v>11</v>
      </c>
      <c r="C110" s="26">
        <f>YEAR('Report Inputs'!$B$2)</f>
        <v>2015</v>
      </c>
      <c r="D110" s="26">
        <v>66571</v>
      </c>
      <c r="F110" s="26" t="s">
        <v>65</v>
      </c>
      <c r="G110" s="26" t="s">
        <v>66</v>
      </c>
      <c r="H110" s="26" t="s">
        <v>67</v>
      </c>
      <c r="I110" s="26" t="s">
        <v>68</v>
      </c>
      <c r="J110" s="26" t="s">
        <v>69</v>
      </c>
      <c r="K110" s="26">
        <v>713</v>
      </c>
      <c r="L110" s="26" t="s">
        <v>70</v>
      </c>
      <c r="M110" s="26">
        <v>713</v>
      </c>
      <c r="N110" s="26" t="s">
        <v>71</v>
      </c>
      <c r="O110" s="26" t="s">
        <v>72</v>
      </c>
      <c r="P110" s="26">
        <v>45</v>
      </c>
      <c r="Q110" s="27">
        <v>13290</v>
      </c>
      <c r="R110" s="26">
        <v>0</v>
      </c>
      <c r="S110" s="26" t="s">
        <v>190</v>
      </c>
      <c r="T110" s="26" t="s">
        <v>83</v>
      </c>
      <c r="U110" s="26" t="str">
        <f t="shared" si="33"/>
        <v>PR</v>
      </c>
      <c r="V110" s="26">
        <f t="shared" si="41"/>
        <v>30</v>
      </c>
      <c r="W110" s="26" t="s">
        <v>117</v>
      </c>
      <c r="X110" s="26">
        <v>32</v>
      </c>
      <c r="Y110" s="26" t="s">
        <v>74</v>
      </c>
      <c r="Z110" s="26" t="s">
        <v>75</v>
      </c>
      <c r="AA110" s="28">
        <f t="shared" si="42"/>
        <v>0.307</v>
      </c>
      <c r="AB110" s="28">
        <f t="shared" si="43"/>
        <v>2.3559999999999999</v>
      </c>
      <c r="AC110" s="28">
        <f t="shared" si="50"/>
        <v>2.4940000000000002</v>
      </c>
      <c r="AD110" s="28">
        <f t="shared" si="52"/>
        <v>0</v>
      </c>
      <c r="AE110" s="28">
        <f t="shared" si="44"/>
        <v>0.16900000000000001</v>
      </c>
      <c r="AF110" s="28">
        <f t="shared" si="45"/>
        <v>1892.69</v>
      </c>
      <c r="AG110" s="28">
        <f t="shared" si="46"/>
        <v>0.42</v>
      </c>
      <c r="AH110" s="28">
        <f t="shared" si="47"/>
        <v>284.988</v>
      </c>
      <c r="AI110" s="28">
        <f t="shared" si="29"/>
        <v>1</v>
      </c>
      <c r="AJ110" s="28">
        <f t="shared" si="51"/>
        <v>1607.2819999999999</v>
      </c>
      <c r="AK110" s="30">
        <f>'Report Inputs'!$F$2</f>
        <v>55.9</v>
      </c>
      <c r="AL110" s="28">
        <f>'Report Inputs'!$E$2</f>
        <v>1080</v>
      </c>
      <c r="AM110" s="28">
        <f t="shared" si="49"/>
        <v>84.93</v>
      </c>
      <c r="AN110" s="26" t="s">
        <v>744</v>
      </c>
      <c r="AS110" s="26" t="s">
        <v>76</v>
      </c>
      <c r="AT110" s="26" t="s">
        <v>77</v>
      </c>
      <c r="AU110" s="26" t="s">
        <v>78</v>
      </c>
      <c r="AV110" s="31">
        <f t="shared" ca="1" si="27"/>
        <v>42376.365370833337</v>
      </c>
    </row>
    <row r="111" spans="1:48">
      <c r="A111" s="26">
        <v>7</v>
      </c>
      <c r="B111" s="26">
        <f>MONTH('Report Inputs'!$B$2)</f>
        <v>11</v>
      </c>
      <c r="C111" s="26">
        <f>YEAR('Report Inputs'!$B$2)</f>
        <v>2015</v>
      </c>
      <c r="D111" s="26">
        <v>66571</v>
      </c>
      <c r="F111" s="26" t="s">
        <v>65</v>
      </c>
      <c r="G111" s="26" t="s">
        <v>66</v>
      </c>
      <c r="H111" s="26" t="s">
        <v>67</v>
      </c>
      <c r="I111" s="26" t="s">
        <v>68</v>
      </c>
      <c r="J111" s="26" t="s">
        <v>69</v>
      </c>
      <c r="K111" s="26">
        <v>713</v>
      </c>
      <c r="L111" s="26" t="s">
        <v>70</v>
      </c>
      <c r="M111" s="26">
        <v>713</v>
      </c>
      <c r="N111" s="26" t="s">
        <v>71</v>
      </c>
      <c r="O111" s="26" t="s">
        <v>72</v>
      </c>
      <c r="P111" s="26">
        <v>45</v>
      </c>
      <c r="Q111" s="27">
        <v>13291</v>
      </c>
      <c r="R111" s="26">
        <v>0</v>
      </c>
      <c r="S111" s="26" t="s">
        <v>187</v>
      </c>
      <c r="T111" s="26" t="s">
        <v>80</v>
      </c>
      <c r="U111" s="26" t="str">
        <f t="shared" si="33"/>
        <v>PR</v>
      </c>
      <c r="V111" s="26">
        <f t="shared" si="41"/>
        <v>30</v>
      </c>
      <c r="W111" s="26" t="s">
        <v>117</v>
      </c>
      <c r="X111" s="26">
        <v>32</v>
      </c>
      <c r="Y111" s="26" t="s">
        <v>74</v>
      </c>
      <c r="Z111" s="26" t="s">
        <v>75</v>
      </c>
      <c r="AA111" s="28">
        <f t="shared" si="42"/>
        <v>0.33700000000000002</v>
      </c>
      <c r="AB111" s="28">
        <f t="shared" si="43"/>
        <v>2.569</v>
      </c>
      <c r="AC111" s="28">
        <f t="shared" si="50"/>
        <v>2.722</v>
      </c>
      <c r="AD111" s="28">
        <f t="shared" si="52"/>
        <v>0</v>
      </c>
      <c r="AE111" s="28">
        <f t="shared" si="44"/>
        <v>0.184</v>
      </c>
      <c r="AF111" s="28">
        <f t="shared" si="45"/>
        <v>2002.93</v>
      </c>
      <c r="AG111" s="28">
        <f t="shared" si="46"/>
        <v>0.46</v>
      </c>
      <c r="AH111" s="28">
        <f t="shared" si="47"/>
        <v>249.114</v>
      </c>
      <c r="AI111" s="28">
        <f t="shared" si="29"/>
        <v>1</v>
      </c>
      <c r="AJ111" s="28">
        <f t="shared" si="51"/>
        <v>1753.356</v>
      </c>
      <c r="AK111" s="30">
        <f>'Report Inputs'!$F$2</f>
        <v>55.9</v>
      </c>
      <c r="AL111" s="28">
        <f>'Report Inputs'!$E$2</f>
        <v>1080</v>
      </c>
      <c r="AM111" s="28">
        <f t="shared" si="49"/>
        <v>92.65</v>
      </c>
      <c r="AN111" s="26" t="s">
        <v>744</v>
      </c>
      <c r="AS111" s="26" t="s">
        <v>76</v>
      </c>
      <c r="AT111" s="26" t="s">
        <v>77</v>
      </c>
      <c r="AU111" s="26" t="s">
        <v>78</v>
      </c>
      <c r="AV111" s="31">
        <f t="shared" ca="1" si="27"/>
        <v>42376.365370833337</v>
      </c>
    </row>
    <row r="112" spans="1:48">
      <c r="A112" s="26">
        <v>7</v>
      </c>
      <c r="B112" s="26">
        <f>MONTH('Report Inputs'!$B$2)</f>
        <v>11</v>
      </c>
      <c r="C112" s="26">
        <f>YEAR('Report Inputs'!$B$2)</f>
        <v>2015</v>
      </c>
      <c r="D112" s="26">
        <v>66571</v>
      </c>
      <c r="F112" s="26" t="s">
        <v>65</v>
      </c>
      <c r="G112" s="26" t="s">
        <v>66</v>
      </c>
      <c r="H112" s="26" t="s">
        <v>67</v>
      </c>
      <c r="I112" s="26" t="s">
        <v>68</v>
      </c>
      <c r="J112" s="26" t="s">
        <v>69</v>
      </c>
      <c r="K112" s="26">
        <v>713</v>
      </c>
      <c r="L112" s="26" t="s">
        <v>70</v>
      </c>
      <c r="M112" s="26">
        <v>713</v>
      </c>
      <c r="N112" s="26" t="s">
        <v>71</v>
      </c>
      <c r="O112" s="26" t="s">
        <v>72</v>
      </c>
      <c r="P112" s="26">
        <v>45</v>
      </c>
      <c r="Q112" s="27">
        <v>13292</v>
      </c>
      <c r="R112" s="26">
        <v>0</v>
      </c>
      <c r="S112" s="26" t="s">
        <v>188</v>
      </c>
      <c r="T112" s="26" t="s">
        <v>80</v>
      </c>
      <c r="U112" s="26" t="str">
        <f t="shared" si="33"/>
        <v>PR</v>
      </c>
      <c r="V112" s="26">
        <f t="shared" si="41"/>
        <v>30</v>
      </c>
      <c r="W112" s="26" t="s">
        <v>117</v>
      </c>
      <c r="X112" s="26">
        <v>32</v>
      </c>
      <c r="Y112" s="26" t="s">
        <v>74</v>
      </c>
      <c r="Z112" s="26" t="s">
        <v>75</v>
      </c>
      <c r="AA112" s="28">
        <f t="shared" si="42"/>
        <v>0.28000000000000003</v>
      </c>
      <c r="AB112" s="28">
        <f t="shared" si="43"/>
        <v>2.1339999999999999</v>
      </c>
      <c r="AC112" s="28">
        <f t="shared" si="50"/>
        <v>2.2589999999999999</v>
      </c>
      <c r="AD112" s="28">
        <f t="shared" si="52"/>
        <v>0</v>
      </c>
      <c r="AE112" s="28">
        <f t="shared" si="44"/>
        <v>0.155</v>
      </c>
      <c r="AF112" s="28">
        <f t="shared" si="45"/>
        <v>1692.35</v>
      </c>
      <c r="AG112" s="28">
        <f t="shared" si="46"/>
        <v>0.38</v>
      </c>
      <c r="AH112" s="28">
        <f t="shared" si="47"/>
        <v>235.63900000000001</v>
      </c>
      <c r="AI112" s="28">
        <f t="shared" si="29"/>
        <v>0</v>
      </c>
      <c r="AJ112" s="28">
        <f t="shared" si="51"/>
        <v>1456.3309999999999</v>
      </c>
      <c r="AK112" s="30">
        <f>'Report Inputs'!$F$2</f>
        <v>55.9</v>
      </c>
      <c r="AL112" s="28">
        <f>'Report Inputs'!$E$2</f>
        <v>1080</v>
      </c>
      <c r="AM112" s="28">
        <f t="shared" si="49"/>
        <v>76.954999999999998</v>
      </c>
      <c r="AN112" s="26" t="s">
        <v>744</v>
      </c>
      <c r="AS112" s="26" t="s">
        <v>76</v>
      </c>
      <c r="AT112" s="26" t="s">
        <v>77</v>
      </c>
      <c r="AU112" s="26" t="s">
        <v>78</v>
      </c>
      <c r="AV112" s="31">
        <f t="shared" ca="1" si="27"/>
        <v>42376.365370833337</v>
      </c>
    </row>
    <row r="113" spans="1:48">
      <c r="A113" s="26">
        <v>7</v>
      </c>
      <c r="B113" s="26">
        <f>MONTH('Report Inputs'!$B$2)</f>
        <v>11</v>
      </c>
      <c r="C113" s="26">
        <f>YEAR('Report Inputs'!$B$2)</f>
        <v>2015</v>
      </c>
      <c r="D113" s="26">
        <v>66571</v>
      </c>
      <c r="F113" s="26" t="s">
        <v>65</v>
      </c>
      <c r="G113" s="26" t="s">
        <v>66</v>
      </c>
      <c r="H113" s="26" t="s">
        <v>67</v>
      </c>
      <c r="I113" s="26" t="s">
        <v>68</v>
      </c>
      <c r="J113" s="26" t="s">
        <v>69</v>
      </c>
      <c r="K113" s="26">
        <v>713</v>
      </c>
      <c r="L113" s="26" t="s">
        <v>70</v>
      </c>
      <c r="M113" s="26">
        <v>713</v>
      </c>
      <c r="N113" s="26" t="s">
        <v>71</v>
      </c>
      <c r="O113" s="26" t="s">
        <v>72</v>
      </c>
      <c r="P113" s="26">
        <v>45</v>
      </c>
      <c r="Q113" s="27">
        <v>13377</v>
      </c>
      <c r="R113" s="26">
        <v>0</v>
      </c>
      <c r="S113" s="26" t="s">
        <v>109</v>
      </c>
      <c r="T113" s="26" t="s">
        <v>83</v>
      </c>
      <c r="U113" s="26" t="str">
        <f t="shared" si="33"/>
        <v>PR</v>
      </c>
      <c r="V113" s="26">
        <f t="shared" si="41"/>
        <v>30</v>
      </c>
      <c r="W113" s="26" t="s">
        <v>101</v>
      </c>
      <c r="X113" s="26">
        <v>20</v>
      </c>
      <c r="Y113" s="26" t="s">
        <v>74</v>
      </c>
      <c r="Z113" s="26" t="s">
        <v>75</v>
      </c>
      <c r="AA113" s="28">
        <f t="shared" si="42"/>
        <v>0.27800000000000002</v>
      </c>
      <c r="AB113" s="28">
        <f t="shared" si="43"/>
        <v>6.5049999999999999</v>
      </c>
      <c r="AC113" s="28">
        <f t="shared" si="50"/>
        <v>6.49</v>
      </c>
      <c r="AD113" s="28">
        <f t="shared" si="52"/>
        <v>-1</v>
      </c>
      <c r="AE113" s="28">
        <f t="shared" si="44"/>
        <v>0.29299999999999998</v>
      </c>
      <c r="AF113" s="28">
        <f t="shared" si="45"/>
        <v>1355.67</v>
      </c>
      <c r="AG113" s="28">
        <f t="shared" si="46"/>
        <v>1.28</v>
      </c>
      <c r="AH113" s="28">
        <f t="shared" si="47"/>
        <v>194.989</v>
      </c>
      <c r="AI113" s="28">
        <f t="shared" si="29"/>
        <v>1</v>
      </c>
      <c r="AJ113" s="28">
        <f t="shared" si="51"/>
        <v>1159.4010000000001</v>
      </c>
      <c r="AK113" s="30">
        <f>'Report Inputs'!$F$2</f>
        <v>55.9</v>
      </c>
      <c r="AL113" s="28">
        <f>'Report Inputs'!$E$2</f>
        <v>1080</v>
      </c>
      <c r="AM113" s="28">
        <f t="shared" si="49"/>
        <v>79.262</v>
      </c>
      <c r="AN113" s="26" t="s">
        <v>744</v>
      </c>
      <c r="AS113" s="26" t="s">
        <v>76</v>
      </c>
      <c r="AT113" s="26" t="s">
        <v>77</v>
      </c>
      <c r="AU113" s="26" t="s">
        <v>78</v>
      </c>
      <c r="AV113" s="31">
        <f t="shared" ca="1" si="27"/>
        <v>42376.365370833337</v>
      </c>
    </row>
    <row r="114" spans="1:48">
      <c r="A114" s="26">
        <v>7</v>
      </c>
      <c r="B114" s="26">
        <f>MONTH('Report Inputs'!$B$2)</f>
        <v>11</v>
      </c>
      <c r="C114" s="26">
        <f>YEAR('Report Inputs'!$B$2)</f>
        <v>2015</v>
      </c>
      <c r="D114" s="26">
        <v>66571</v>
      </c>
      <c r="F114" s="26" t="s">
        <v>65</v>
      </c>
      <c r="G114" s="26" t="s">
        <v>66</v>
      </c>
      <c r="H114" s="26" t="s">
        <v>67</v>
      </c>
      <c r="I114" s="26" t="s">
        <v>68</v>
      </c>
      <c r="J114" s="26" t="s">
        <v>69</v>
      </c>
      <c r="K114" s="26">
        <v>713</v>
      </c>
      <c r="L114" s="26" t="s">
        <v>70</v>
      </c>
      <c r="M114" s="26">
        <v>713</v>
      </c>
      <c r="N114" s="26" t="s">
        <v>71</v>
      </c>
      <c r="O114" s="26" t="s">
        <v>72</v>
      </c>
      <c r="P114" s="26">
        <v>45</v>
      </c>
      <c r="Q114" s="27">
        <v>13433</v>
      </c>
      <c r="R114" s="26">
        <v>0</v>
      </c>
      <c r="S114" s="26" t="s">
        <v>113</v>
      </c>
      <c r="T114" s="26" t="s">
        <v>80</v>
      </c>
      <c r="U114" s="26" t="str">
        <f t="shared" si="33"/>
        <v>SI</v>
      </c>
      <c r="V114" s="26">
        <f t="shared" si="41"/>
        <v>0</v>
      </c>
      <c r="W114" s="26" t="s">
        <v>92</v>
      </c>
      <c r="X114" s="26">
        <v>29</v>
      </c>
      <c r="Y114" s="26" t="s">
        <v>74</v>
      </c>
      <c r="Z114" s="26" t="s">
        <v>75</v>
      </c>
      <c r="AA114" s="28">
        <f t="shared" si="42"/>
        <v>1.0999999999999999E-2</v>
      </c>
      <c r="AB114" s="28">
        <f t="shared" si="43"/>
        <v>0</v>
      </c>
      <c r="AC114" s="28">
        <f t="shared" si="50"/>
        <v>1.0999999999999999E-2</v>
      </c>
      <c r="AD114" s="28">
        <f t="shared" si="52"/>
        <v>0</v>
      </c>
      <c r="AE114" s="28">
        <f t="shared" si="44"/>
        <v>0</v>
      </c>
      <c r="AF114" s="28">
        <f t="shared" si="45"/>
        <v>0</v>
      </c>
      <c r="AG114" s="28">
        <f t="shared" si="46"/>
        <v>0</v>
      </c>
      <c r="AH114" s="28">
        <f t="shared" si="47"/>
        <v>0</v>
      </c>
      <c r="AI114" s="28">
        <f t="shared" si="29"/>
        <v>0</v>
      </c>
      <c r="AJ114" s="28">
        <f t="shared" si="51"/>
        <v>0</v>
      </c>
      <c r="AM114" s="28">
        <f t="shared" si="49"/>
        <v>0</v>
      </c>
      <c r="AN114" s="26" t="s">
        <v>744</v>
      </c>
      <c r="AS114" s="26" t="s">
        <v>76</v>
      </c>
      <c r="AT114" s="26" t="s">
        <v>77</v>
      </c>
      <c r="AU114" s="26" t="s">
        <v>78</v>
      </c>
      <c r="AV114" s="31">
        <f t="shared" ca="1" si="27"/>
        <v>42376.365370833337</v>
      </c>
    </row>
    <row r="115" spans="1:48">
      <c r="A115" s="26">
        <v>7</v>
      </c>
      <c r="B115" s="26">
        <f>MONTH('Report Inputs'!$B$2)</f>
        <v>11</v>
      </c>
      <c r="C115" s="26">
        <f>YEAR('Report Inputs'!$B$2)</f>
        <v>2015</v>
      </c>
      <c r="D115" s="26">
        <v>66571</v>
      </c>
      <c r="F115" s="26" t="s">
        <v>65</v>
      </c>
      <c r="G115" s="26" t="s">
        <v>66</v>
      </c>
      <c r="H115" s="26" t="s">
        <v>67</v>
      </c>
      <c r="I115" s="26" t="s">
        <v>68</v>
      </c>
      <c r="J115" s="26" t="s">
        <v>69</v>
      </c>
      <c r="K115" s="26">
        <v>713</v>
      </c>
      <c r="L115" s="26" t="s">
        <v>70</v>
      </c>
      <c r="M115" s="26">
        <v>713</v>
      </c>
      <c r="N115" s="26" t="s">
        <v>71</v>
      </c>
      <c r="O115" s="26" t="s">
        <v>72</v>
      </c>
      <c r="P115" s="26">
        <v>45</v>
      </c>
      <c r="Q115" s="27">
        <v>13465</v>
      </c>
      <c r="R115" s="26">
        <v>0</v>
      </c>
      <c r="S115" s="26" t="s">
        <v>79</v>
      </c>
      <c r="T115" s="26" t="s">
        <v>80</v>
      </c>
      <c r="U115" s="26" t="str">
        <f t="shared" si="33"/>
        <v>PR</v>
      </c>
      <c r="V115" s="26">
        <f t="shared" si="41"/>
        <v>28</v>
      </c>
      <c r="W115" s="26" t="s">
        <v>81</v>
      </c>
      <c r="X115" s="26">
        <v>4</v>
      </c>
      <c r="Y115" s="26" t="s">
        <v>74</v>
      </c>
      <c r="Z115" s="26" t="s">
        <v>75</v>
      </c>
      <c r="AA115" s="28">
        <f t="shared" si="42"/>
        <v>0.184</v>
      </c>
      <c r="AB115" s="28">
        <f t="shared" si="43"/>
        <v>0.27</v>
      </c>
      <c r="AC115" s="28">
        <f t="shared" si="50"/>
        <v>0.36</v>
      </c>
      <c r="AD115" s="28">
        <f t="shared" si="52"/>
        <v>0</v>
      </c>
      <c r="AE115" s="28">
        <f t="shared" si="44"/>
        <v>9.4E-2</v>
      </c>
      <c r="AF115" s="28">
        <f t="shared" si="45"/>
        <v>1907.85</v>
      </c>
      <c r="AG115" s="28">
        <f t="shared" si="46"/>
        <v>0</v>
      </c>
      <c r="AH115" s="28">
        <f t="shared" si="47"/>
        <v>353.18099999999998</v>
      </c>
      <c r="AI115" s="28">
        <f t="shared" si="29"/>
        <v>0</v>
      </c>
      <c r="AJ115" s="28">
        <f t="shared" si="51"/>
        <v>1554.6690000000001</v>
      </c>
      <c r="AL115" s="28">
        <f>'Report Inputs'!$E$2</f>
        <v>1080</v>
      </c>
      <c r="AM115" s="28">
        <f t="shared" si="49"/>
        <v>37.127000000000002</v>
      </c>
      <c r="AN115" s="26" t="s">
        <v>744</v>
      </c>
      <c r="AS115" s="26" t="s">
        <v>76</v>
      </c>
      <c r="AT115" s="26" t="s">
        <v>77</v>
      </c>
      <c r="AU115" s="26" t="s">
        <v>78</v>
      </c>
      <c r="AV115" s="31">
        <f t="shared" ca="1" si="27"/>
        <v>42376.365370833337</v>
      </c>
    </row>
    <row r="116" spans="1:48">
      <c r="A116" s="26">
        <v>7</v>
      </c>
      <c r="B116" s="26">
        <f>MONTH('Report Inputs'!$B$2)</f>
        <v>11</v>
      </c>
      <c r="C116" s="26">
        <f>YEAR('Report Inputs'!$B$2)</f>
        <v>2015</v>
      </c>
      <c r="D116" s="26">
        <v>66571</v>
      </c>
      <c r="F116" s="26" t="s">
        <v>65</v>
      </c>
      <c r="G116" s="26" t="s">
        <v>66</v>
      </c>
      <c r="H116" s="26" t="s">
        <v>67</v>
      </c>
      <c r="I116" s="26" t="s">
        <v>68</v>
      </c>
      <c r="J116" s="26" t="s">
        <v>69</v>
      </c>
      <c r="K116" s="26">
        <v>713</v>
      </c>
      <c r="L116" s="26" t="s">
        <v>70</v>
      </c>
      <c r="M116" s="26">
        <v>713</v>
      </c>
      <c r="N116" s="26" t="s">
        <v>71</v>
      </c>
      <c r="O116" s="26" t="s">
        <v>72</v>
      </c>
      <c r="P116" s="26">
        <v>45</v>
      </c>
      <c r="Q116" s="27">
        <v>13486</v>
      </c>
      <c r="R116" s="26">
        <v>0</v>
      </c>
      <c r="S116" s="26" t="s">
        <v>111</v>
      </c>
      <c r="T116" s="26" t="s">
        <v>80</v>
      </c>
      <c r="U116" s="26" t="str">
        <f t="shared" si="33"/>
        <v>PR</v>
      </c>
      <c r="V116" s="26">
        <f t="shared" si="41"/>
        <v>30</v>
      </c>
      <c r="W116" s="26" t="s">
        <v>84</v>
      </c>
      <c r="X116" s="26">
        <v>20</v>
      </c>
      <c r="Y116" s="26" t="s">
        <v>74</v>
      </c>
      <c r="Z116" s="26" t="s">
        <v>75</v>
      </c>
      <c r="AA116" s="28">
        <f t="shared" si="42"/>
        <v>1.1599999999999999</v>
      </c>
      <c r="AB116" s="28">
        <f t="shared" si="43"/>
        <v>32.698</v>
      </c>
      <c r="AC116" s="28">
        <f t="shared" si="50"/>
        <v>32.600999999999999</v>
      </c>
      <c r="AD116" s="28">
        <f t="shared" si="52"/>
        <v>0</v>
      </c>
      <c r="AE116" s="28">
        <f t="shared" si="44"/>
        <v>1.2569999999999999</v>
      </c>
      <c r="AF116" s="28">
        <f t="shared" si="45"/>
        <v>2136.9499999999998</v>
      </c>
      <c r="AG116" s="28">
        <f t="shared" si="46"/>
        <v>6.57</v>
      </c>
      <c r="AH116" s="28">
        <v>297</v>
      </c>
      <c r="AI116" s="28">
        <f t="shared" si="29"/>
        <v>0</v>
      </c>
      <c r="AJ116" s="28">
        <f t="shared" si="51"/>
        <v>1832.85</v>
      </c>
      <c r="AK116" s="30">
        <f>'Report Inputs'!$F$2</f>
        <v>55.9</v>
      </c>
      <c r="AL116" s="28">
        <f>'Report Inputs'!$E$2</f>
        <v>1080</v>
      </c>
      <c r="AM116" s="28">
        <f t="shared" si="49"/>
        <v>76.552000000000007</v>
      </c>
      <c r="AN116" s="26" t="s">
        <v>744</v>
      </c>
      <c r="AS116" s="26" t="s">
        <v>76</v>
      </c>
      <c r="AT116" s="26" t="s">
        <v>77</v>
      </c>
      <c r="AU116" s="26" t="s">
        <v>78</v>
      </c>
      <c r="AV116" s="31">
        <f t="shared" ca="1" si="27"/>
        <v>42376.365370833337</v>
      </c>
    </row>
    <row r="117" spans="1:48">
      <c r="A117" s="26">
        <v>7</v>
      </c>
      <c r="B117" s="26">
        <f>MONTH('Report Inputs'!$B$2)</f>
        <v>11</v>
      </c>
      <c r="C117" s="26">
        <f>YEAR('Report Inputs'!$B$2)</f>
        <v>2015</v>
      </c>
      <c r="D117" s="26">
        <v>66571</v>
      </c>
      <c r="F117" s="26" t="s">
        <v>65</v>
      </c>
      <c r="G117" s="26" t="s">
        <v>66</v>
      </c>
      <c r="H117" s="26" t="s">
        <v>67</v>
      </c>
      <c r="I117" s="26" t="s">
        <v>68</v>
      </c>
      <c r="J117" s="26" t="s">
        <v>69</v>
      </c>
      <c r="K117" s="26">
        <v>713</v>
      </c>
      <c r="L117" s="26" t="s">
        <v>70</v>
      </c>
      <c r="M117" s="26">
        <v>713</v>
      </c>
      <c r="N117" s="26" t="s">
        <v>71</v>
      </c>
      <c r="O117" s="26" t="s">
        <v>72</v>
      </c>
      <c r="P117" s="26">
        <v>45</v>
      </c>
      <c r="Q117" s="27">
        <v>13497</v>
      </c>
      <c r="R117" s="26">
        <v>0</v>
      </c>
      <c r="S117" s="26" t="s">
        <v>116</v>
      </c>
      <c r="T117" s="26" t="s">
        <v>80</v>
      </c>
      <c r="U117" s="26" t="str">
        <f t="shared" si="33"/>
        <v>PR</v>
      </c>
      <c r="V117" s="26">
        <f t="shared" si="41"/>
        <v>30</v>
      </c>
      <c r="W117" s="26" t="s">
        <v>117</v>
      </c>
      <c r="X117" s="26">
        <v>32</v>
      </c>
      <c r="Y117" s="26" t="s">
        <v>74</v>
      </c>
      <c r="Z117" s="26" t="s">
        <v>75</v>
      </c>
      <c r="AA117" s="28">
        <f t="shared" si="42"/>
        <v>0.27800000000000002</v>
      </c>
      <c r="AB117" s="28">
        <f t="shared" si="43"/>
        <v>2.157</v>
      </c>
      <c r="AC117" s="28">
        <f t="shared" si="50"/>
        <v>2.2810000000000001</v>
      </c>
      <c r="AD117" s="28">
        <f t="shared" si="52"/>
        <v>0</v>
      </c>
      <c r="AE117" s="28">
        <f t="shared" si="44"/>
        <v>0.154</v>
      </c>
      <c r="AF117" s="28">
        <f t="shared" si="45"/>
        <v>1751.26</v>
      </c>
      <c r="AG117" s="28">
        <f t="shared" si="46"/>
        <v>0.39</v>
      </c>
      <c r="AH117" s="28">
        <f t="shared" si="47"/>
        <v>278.851</v>
      </c>
      <c r="AI117" s="28">
        <f t="shared" si="29"/>
        <v>0</v>
      </c>
      <c r="AJ117" s="28">
        <f t="shared" si="51"/>
        <v>1472.019</v>
      </c>
      <c r="AK117" s="30">
        <f>'Report Inputs'!$F$2</f>
        <v>55.9</v>
      </c>
      <c r="AL117" s="28">
        <f>'Report Inputs'!$E$2</f>
        <v>1080</v>
      </c>
      <c r="AM117" s="28">
        <f t="shared" si="49"/>
        <v>77.784000000000006</v>
      </c>
      <c r="AN117" s="26" t="s">
        <v>744</v>
      </c>
      <c r="AS117" s="26" t="s">
        <v>76</v>
      </c>
      <c r="AT117" s="26" t="s">
        <v>77</v>
      </c>
      <c r="AU117" s="26" t="s">
        <v>78</v>
      </c>
      <c r="AV117" s="31">
        <f t="shared" ca="1" si="27"/>
        <v>42376.365370833337</v>
      </c>
    </row>
    <row r="118" spans="1:48">
      <c r="A118" s="26">
        <v>7</v>
      </c>
      <c r="B118" s="26">
        <f>MONTH('Report Inputs'!$B$2)</f>
        <v>11</v>
      </c>
      <c r="C118" s="26">
        <f>YEAR('Report Inputs'!$B$2)</f>
        <v>2015</v>
      </c>
      <c r="D118" s="26">
        <v>66571</v>
      </c>
      <c r="F118" s="26" t="s">
        <v>65</v>
      </c>
      <c r="G118" s="26" t="s">
        <v>66</v>
      </c>
      <c r="H118" s="26" t="s">
        <v>67</v>
      </c>
      <c r="I118" s="26" t="s">
        <v>68</v>
      </c>
      <c r="J118" s="26" t="s">
        <v>69</v>
      </c>
      <c r="K118" s="26">
        <v>713</v>
      </c>
      <c r="L118" s="26" t="s">
        <v>70</v>
      </c>
      <c r="M118" s="26">
        <v>713</v>
      </c>
      <c r="N118" s="26" t="s">
        <v>71</v>
      </c>
      <c r="O118" s="26" t="s">
        <v>72</v>
      </c>
      <c r="P118" s="26">
        <v>45</v>
      </c>
      <c r="Q118" s="27">
        <v>13701</v>
      </c>
      <c r="R118" s="26">
        <v>0</v>
      </c>
      <c r="S118" s="26" t="s">
        <v>202</v>
      </c>
      <c r="T118" s="26" t="s">
        <v>83</v>
      </c>
      <c r="U118" s="26" t="str">
        <f t="shared" si="33"/>
        <v>PR</v>
      </c>
      <c r="V118" s="26">
        <f t="shared" si="41"/>
        <v>29</v>
      </c>
      <c r="W118" s="26" t="s">
        <v>201</v>
      </c>
      <c r="X118" s="26">
        <v>5</v>
      </c>
      <c r="Y118" s="26" t="s">
        <v>194</v>
      </c>
      <c r="Z118" s="26" t="s">
        <v>75</v>
      </c>
      <c r="AA118" s="28">
        <f t="shared" si="42"/>
        <v>0.76700000000000002</v>
      </c>
      <c r="AB118" s="28">
        <f t="shared" si="43"/>
        <v>21.681000000000001</v>
      </c>
      <c r="AC118" s="28">
        <f t="shared" si="50"/>
        <v>21.600999999999999</v>
      </c>
      <c r="AD118" s="28">
        <f t="shared" si="52"/>
        <v>0</v>
      </c>
      <c r="AE118" s="28">
        <f t="shared" si="44"/>
        <v>0.84699999999999998</v>
      </c>
      <c r="AF118" s="28">
        <f t="shared" si="45"/>
        <v>1762.02</v>
      </c>
      <c r="AG118" s="28">
        <f t="shared" si="46"/>
        <v>4.3499999999999996</v>
      </c>
      <c r="AH118" s="28">
        <f t="shared" si="47"/>
        <v>279.14600000000002</v>
      </c>
      <c r="AI118" s="28">
        <f t="shared" si="29"/>
        <v>0</v>
      </c>
      <c r="AJ118" s="28">
        <f t="shared" si="51"/>
        <v>1478.5239999999999</v>
      </c>
      <c r="AK118" s="30">
        <f>'Report Inputs'!$F$2</f>
        <v>55.9</v>
      </c>
      <c r="AL118" s="28">
        <f>'Report Inputs'!$E$2</f>
        <v>1080</v>
      </c>
      <c r="AM118" s="28">
        <f t="shared" si="49"/>
        <v>17.202000000000002</v>
      </c>
      <c r="AN118" s="26" t="s">
        <v>744</v>
      </c>
      <c r="AS118" s="26" t="s">
        <v>76</v>
      </c>
      <c r="AT118" s="26" t="s">
        <v>77</v>
      </c>
      <c r="AU118" s="26" t="s">
        <v>78</v>
      </c>
      <c r="AV118" s="31">
        <f t="shared" ca="1" si="27"/>
        <v>42376.365370833337</v>
      </c>
    </row>
    <row r="119" spans="1:48">
      <c r="A119" s="26">
        <v>7</v>
      </c>
      <c r="B119" s="26">
        <f>MONTH('Report Inputs'!$B$2)</f>
        <v>11</v>
      </c>
      <c r="C119" s="26">
        <f>YEAR('Report Inputs'!$B$2)</f>
        <v>2015</v>
      </c>
      <c r="D119" s="26">
        <v>66571</v>
      </c>
      <c r="F119" s="26" t="s">
        <v>65</v>
      </c>
      <c r="G119" s="26" t="s">
        <v>66</v>
      </c>
      <c r="H119" s="26" t="s">
        <v>67</v>
      </c>
      <c r="I119" s="26" t="s">
        <v>68</v>
      </c>
      <c r="J119" s="26" t="s">
        <v>69</v>
      </c>
      <c r="K119" s="26">
        <v>713</v>
      </c>
      <c r="L119" s="26" t="s">
        <v>70</v>
      </c>
      <c r="M119" s="26">
        <v>713</v>
      </c>
      <c r="N119" s="26" t="s">
        <v>71</v>
      </c>
      <c r="O119" s="26" t="s">
        <v>72</v>
      </c>
      <c r="P119" s="26">
        <v>45</v>
      </c>
      <c r="Q119" s="27">
        <v>13702</v>
      </c>
      <c r="R119" s="26">
        <v>0</v>
      </c>
      <c r="S119" s="26" t="s">
        <v>200</v>
      </c>
      <c r="T119" s="26" t="s">
        <v>83</v>
      </c>
      <c r="U119" s="26" t="str">
        <f t="shared" si="33"/>
        <v>PR</v>
      </c>
      <c r="V119" s="26">
        <f t="shared" si="41"/>
        <v>29</v>
      </c>
      <c r="W119" s="26" t="s">
        <v>201</v>
      </c>
      <c r="X119" s="26">
        <v>5</v>
      </c>
      <c r="Y119" s="26" t="s">
        <v>194</v>
      </c>
      <c r="Z119" s="26" t="s">
        <v>75</v>
      </c>
      <c r="AA119" s="28">
        <f t="shared" si="42"/>
        <v>0.70799999999999996</v>
      </c>
      <c r="AB119" s="28">
        <f t="shared" si="43"/>
        <v>17.573</v>
      </c>
      <c r="AC119" s="28">
        <f t="shared" si="50"/>
        <v>17.593</v>
      </c>
      <c r="AD119" s="28">
        <f t="shared" si="52"/>
        <v>0</v>
      </c>
      <c r="AE119" s="28">
        <f t="shared" si="44"/>
        <v>0.68799999999999994</v>
      </c>
      <c r="AF119" s="28">
        <f t="shared" si="45"/>
        <v>1470.02</v>
      </c>
      <c r="AG119" s="28">
        <f t="shared" si="46"/>
        <v>3.52</v>
      </c>
      <c r="AH119" s="28">
        <f t="shared" si="47"/>
        <v>268.16500000000002</v>
      </c>
      <c r="AI119" s="28">
        <f t="shared" si="29"/>
        <v>0</v>
      </c>
      <c r="AJ119" s="28">
        <f t="shared" si="51"/>
        <v>1198.335</v>
      </c>
      <c r="AK119" s="30">
        <f>'Report Inputs'!$F$2</f>
        <v>55.9</v>
      </c>
      <c r="AL119" s="28">
        <f>'Report Inputs'!$E$2</f>
        <v>1080</v>
      </c>
      <c r="AM119" s="28">
        <f t="shared" si="49"/>
        <v>13.942</v>
      </c>
      <c r="AN119" s="26" t="s">
        <v>744</v>
      </c>
      <c r="AS119" s="26" t="s">
        <v>76</v>
      </c>
      <c r="AT119" s="26" t="s">
        <v>77</v>
      </c>
      <c r="AU119" s="26" t="s">
        <v>78</v>
      </c>
      <c r="AV119" s="31">
        <f t="shared" ca="1" si="27"/>
        <v>42376.365370833337</v>
      </c>
    </row>
    <row r="120" spans="1:48">
      <c r="A120" s="26">
        <v>7</v>
      </c>
      <c r="B120" s="26">
        <f>MONTH('Report Inputs'!$B$2)</f>
        <v>11</v>
      </c>
      <c r="C120" s="26">
        <f>YEAR('Report Inputs'!$B$2)</f>
        <v>2015</v>
      </c>
      <c r="D120" s="26">
        <v>66571</v>
      </c>
      <c r="F120" s="26" t="s">
        <v>65</v>
      </c>
      <c r="G120" s="26" t="s">
        <v>66</v>
      </c>
      <c r="H120" s="26" t="s">
        <v>67</v>
      </c>
      <c r="I120" s="26" t="s">
        <v>68</v>
      </c>
      <c r="J120" s="26" t="s">
        <v>69</v>
      </c>
      <c r="K120" s="26">
        <v>713</v>
      </c>
      <c r="L120" s="26" t="s">
        <v>70</v>
      </c>
      <c r="M120" s="26">
        <v>713</v>
      </c>
      <c r="N120" s="26" t="s">
        <v>71</v>
      </c>
      <c r="O120" s="26" t="s">
        <v>72</v>
      </c>
      <c r="P120" s="26">
        <v>45</v>
      </c>
      <c r="Q120" s="27">
        <v>13703</v>
      </c>
      <c r="R120" s="26">
        <v>0</v>
      </c>
      <c r="S120" s="26" t="s">
        <v>199</v>
      </c>
      <c r="T120" s="26" t="s">
        <v>83</v>
      </c>
      <c r="U120" s="26" t="str">
        <f t="shared" si="33"/>
        <v>PR</v>
      </c>
      <c r="V120" s="26">
        <f t="shared" si="41"/>
        <v>30</v>
      </c>
      <c r="W120" s="26" t="s">
        <v>84</v>
      </c>
      <c r="X120" s="26">
        <v>5</v>
      </c>
      <c r="Y120" s="26" t="s">
        <v>194</v>
      </c>
      <c r="Z120" s="26" t="s">
        <v>75</v>
      </c>
      <c r="AA120" s="28">
        <f t="shared" si="42"/>
        <v>0.85899999999999999</v>
      </c>
      <c r="AB120" s="28">
        <f t="shared" si="43"/>
        <v>25.152999999999999</v>
      </c>
      <c r="AC120" s="28">
        <f t="shared" si="50"/>
        <v>25.029</v>
      </c>
      <c r="AD120" s="28">
        <f t="shared" si="52"/>
        <v>0</v>
      </c>
      <c r="AE120" s="28">
        <f t="shared" si="44"/>
        <v>0.98299999999999998</v>
      </c>
      <c r="AF120" s="28">
        <f t="shared" si="45"/>
        <v>2010.12</v>
      </c>
      <c r="AG120" s="28">
        <f t="shared" si="46"/>
        <v>5.05</v>
      </c>
      <c r="AH120" s="28">
        <f t="shared" si="47"/>
        <v>289.88299999999998</v>
      </c>
      <c r="AI120" s="28">
        <f t="shared" si="29"/>
        <v>0</v>
      </c>
      <c r="AJ120" s="28">
        <f t="shared" si="51"/>
        <v>1715.1869999999999</v>
      </c>
      <c r="AK120" s="30">
        <f>'Report Inputs'!$F$2</f>
        <v>55.9</v>
      </c>
      <c r="AL120" s="28">
        <f>'Report Inputs'!$E$2</f>
        <v>1080</v>
      </c>
      <c r="AM120" s="28">
        <f t="shared" si="49"/>
        <v>19.954999999999998</v>
      </c>
      <c r="AN120" s="26" t="s">
        <v>744</v>
      </c>
      <c r="AS120" s="26" t="s">
        <v>76</v>
      </c>
      <c r="AT120" s="26" t="s">
        <v>77</v>
      </c>
      <c r="AU120" s="26" t="s">
        <v>78</v>
      </c>
      <c r="AV120" s="31">
        <f t="shared" ca="1" si="27"/>
        <v>42376.365370833337</v>
      </c>
    </row>
    <row r="121" spans="1:48">
      <c r="A121" s="26">
        <v>7</v>
      </c>
      <c r="B121" s="26">
        <f>MONTH('Report Inputs'!$B$2)</f>
        <v>11</v>
      </c>
      <c r="C121" s="26">
        <f>YEAR('Report Inputs'!$B$2)</f>
        <v>2015</v>
      </c>
      <c r="D121" s="26">
        <v>66571</v>
      </c>
      <c r="F121" s="26" t="s">
        <v>65</v>
      </c>
      <c r="G121" s="26" t="s">
        <v>66</v>
      </c>
      <c r="H121" s="26" t="s">
        <v>67</v>
      </c>
      <c r="I121" s="26" t="s">
        <v>68</v>
      </c>
      <c r="J121" s="26" t="s">
        <v>69</v>
      </c>
      <c r="K121" s="26">
        <v>713</v>
      </c>
      <c r="L121" s="26" t="s">
        <v>70</v>
      </c>
      <c r="M121" s="26">
        <v>713</v>
      </c>
      <c r="N121" s="26" t="s">
        <v>71</v>
      </c>
      <c r="O121" s="26" t="s">
        <v>72</v>
      </c>
      <c r="P121" s="26">
        <v>45</v>
      </c>
      <c r="Q121" s="27">
        <v>13794</v>
      </c>
      <c r="R121" s="26">
        <v>0</v>
      </c>
      <c r="S121" s="26" t="s">
        <v>935</v>
      </c>
      <c r="T121" s="26" t="s">
        <v>80</v>
      </c>
      <c r="U121" s="26" t="str">
        <f t="shared" si="33"/>
        <v>PR</v>
      </c>
      <c r="V121" s="26">
        <f t="shared" si="41"/>
        <v>30</v>
      </c>
      <c r="W121" s="26" t="s">
        <v>103</v>
      </c>
      <c r="X121" s="26">
        <v>9</v>
      </c>
      <c r="Y121" s="26" t="s">
        <v>194</v>
      </c>
      <c r="Z121" s="26" t="s">
        <v>75</v>
      </c>
      <c r="AA121" s="28">
        <f t="shared" ref="AA121:AA139" si="53">IF(ISNA(VLOOKUP($Q121,data,5,FALSE)),0,VLOOKUP($Q121,data,5,FALSE))</f>
        <v>1.224</v>
      </c>
      <c r="AB121" s="28">
        <f t="shared" ref="AB121:AB139" si="54">IF(ISNA(VLOOKUP($Q121,data,7,FALSE)),0,VLOOKUP($Q121,data,7,FALSE))</f>
        <v>32.953000000000003</v>
      </c>
      <c r="AC121" s="28">
        <f t="shared" si="50"/>
        <v>32.875</v>
      </c>
      <c r="AD121" s="28">
        <f t="shared" si="52"/>
        <v>0</v>
      </c>
      <c r="AE121" s="28">
        <f t="shared" ref="AE121:AE139" si="55">IF(ISNA(VLOOKUP($Q121,data,13,FALSE)),0,VLOOKUP($Q121,data,13,FALSE))</f>
        <v>1.302</v>
      </c>
      <c r="AF121" s="28">
        <f t="shared" si="45"/>
        <v>2836.03</v>
      </c>
      <c r="AG121" s="28">
        <f t="shared" si="46"/>
        <v>6.6</v>
      </c>
      <c r="AH121" s="28">
        <v>326</v>
      </c>
      <c r="AI121" s="28">
        <f t="shared" si="29"/>
        <v>0</v>
      </c>
      <c r="AJ121" s="28">
        <f t="shared" si="51"/>
        <v>2502.6619999999998</v>
      </c>
      <c r="AK121" s="30">
        <f>'Report Inputs'!$F$2</f>
        <v>55.9</v>
      </c>
      <c r="AL121" s="28">
        <f>'Report Inputs'!$E$2</f>
        <v>1080</v>
      </c>
      <c r="AM121" s="28">
        <f t="shared" ref="AM121:AM139" si="56">IF(ISNA(VLOOKUP($Q121,data,14,FALSE)),0,VLOOKUP($Q121,data,14,FALSE))</f>
        <v>51.631</v>
      </c>
      <c r="AN121" s="26" t="s">
        <v>744</v>
      </c>
      <c r="AS121" s="26" t="s">
        <v>76</v>
      </c>
      <c r="AT121" s="26" t="s">
        <v>77</v>
      </c>
      <c r="AU121" s="26" t="s">
        <v>78</v>
      </c>
      <c r="AV121" s="31">
        <f t="shared" ca="1" si="27"/>
        <v>42376.365370833337</v>
      </c>
    </row>
    <row r="122" spans="1:48">
      <c r="A122" s="26">
        <v>7</v>
      </c>
      <c r="B122" s="26">
        <f>MONTH('Report Inputs'!$B$2)</f>
        <v>11</v>
      </c>
      <c r="C122" s="26">
        <f>YEAR('Report Inputs'!$B$2)</f>
        <v>2015</v>
      </c>
      <c r="D122" s="26">
        <v>66571</v>
      </c>
      <c r="F122" s="26" t="s">
        <v>65</v>
      </c>
      <c r="G122" s="26" t="s">
        <v>66</v>
      </c>
      <c r="H122" s="26" t="s">
        <v>67</v>
      </c>
      <c r="I122" s="26" t="s">
        <v>68</v>
      </c>
      <c r="J122" s="26" t="s">
        <v>69</v>
      </c>
      <c r="K122" s="26">
        <v>713</v>
      </c>
      <c r="L122" s="26" t="s">
        <v>70</v>
      </c>
      <c r="M122" s="26">
        <v>713</v>
      </c>
      <c r="N122" s="26" t="s">
        <v>71</v>
      </c>
      <c r="O122" s="26" t="s">
        <v>72</v>
      </c>
      <c r="P122" s="26">
        <v>45</v>
      </c>
      <c r="Q122" s="27">
        <v>13795</v>
      </c>
      <c r="R122" s="26">
        <v>0</v>
      </c>
      <c r="S122" s="26" t="s">
        <v>666</v>
      </c>
      <c r="T122" s="26" t="s">
        <v>83</v>
      </c>
      <c r="U122" s="26" t="str">
        <f t="shared" si="33"/>
        <v>PR</v>
      </c>
      <c r="V122" s="26">
        <f t="shared" si="41"/>
        <v>30</v>
      </c>
      <c r="W122" s="26" t="s">
        <v>90</v>
      </c>
      <c r="X122" s="26">
        <v>23</v>
      </c>
      <c r="Y122" s="26" t="s">
        <v>194</v>
      </c>
      <c r="Z122" s="26" t="s">
        <v>75</v>
      </c>
      <c r="AA122" s="28">
        <f t="shared" si="53"/>
        <v>23.451000000000001</v>
      </c>
      <c r="AB122" s="28">
        <f t="shared" si="54"/>
        <v>0.41</v>
      </c>
      <c r="AC122" s="28">
        <f t="shared" si="50"/>
        <v>2.637</v>
      </c>
      <c r="AD122" s="28">
        <f t="shared" si="52"/>
        <v>1</v>
      </c>
      <c r="AE122" s="28">
        <f t="shared" si="55"/>
        <v>21.224</v>
      </c>
      <c r="AF122" s="28">
        <f t="shared" si="45"/>
        <v>3785.25</v>
      </c>
      <c r="AG122" s="28">
        <f t="shared" si="46"/>
        <v>0</v>
      </c>
      <c r="AH122" s="28">
        <v>434</v>
      </c>
      <c r="AI122" s="28">
        <f t="shared" si="29"/>
        <v>0</v>
      </c>
      <c r="AJ122" s="28">
        <f t="shared" si="51"/>
        <v>3350.5940000000001</v>
      </c>
      <c r="AK122" s="30">
        <f>'Report Inputs'!$F$2</f>
        <v>55.9</v>
      </c>
      <c r="AL122" s="28">
        <f>'Report Inputs'!$E$2</f>
        <v>1080</v>
      </c>
      <c r="AM122" s="28">
        <f t="shared" si="56"/>
        <v>0</v>
      </c>
      <c r="AN122" s="26" t="s">
        <v>744</v>
      </c>
      <c r="AS122" s="26" t="s">
        <v>76</v>
      </c>
      <c r="AT122" s="26" t="s">
        <v>77</v>
      </c>
      <c r="AU122" s="26" t="s">
        <v>78</v>
      </c>
      <c r="AV122" s="31">
        <f t="shared" ca="1" si="27"/>
        <v>42376.365370833337</v>
      </c>
    </row>
    <row r="123" spans="1:48">
      <c r="A123" s="26">
        <v>7</v>
      </c>
      <c r="B123" s="26">
        <f>MONTH('Report Inputs'!$B$2)</f>
        <v>11</v>
      </c>
      <c r="C123" s="26">
        <f>YEAR('Report Inputs'!$B$2)</f>
        <v>2015</v>
      </c>
      <c r="D123" s="26">
        <v>66571</v>
      </c>
      <c r="F123" s="26" t="s">
        <v>65</v>
      </c>
      <c r="G123" s="26" t="s">
        <v>66</v>
      </c>
      <c r="H123" s="26" t="s">
        <v>67</v>
      </c>
      <c r="I123" s="26" t="s">
        <v>68</v>
      </c>
      <c r="J123" s="26" t="s">
        <v>69</v>
      </c>
      <c r="K123" s="26">
        <v>713</v>
      </c>
      <c r="L123" s="26" t="s">
        <v>70</v>
      </c>
      <c r="M123" s="26">
        <v>713</v>
      </c>
      <c r="N123" s="26" t="s">
        <v>71</v>
      </c>
      <c r="O123" s="26" t="s">
        <v>72</v>
      </c>
      <c r="P123" s="26">
        <v>45</v>
      </c>
      <c r="Q123" s="27">
        <v>13849</v>
      </c>
      <c r="R123" s="26">
        <v>0</v>
      </c>
      <c r="S123" s="26" t="s">
        <v>169</v>
      </c>
      <c r="T123" s="26" t="s">
        <v>83</v>
      </c>
      <c r="U123" s="26" t="str">
        <f t="shared" si="33"/>
        <v>PR</v>
      </c>
      <c r="V123" s="26">
        <f t="shared" si="41"/>
        <v>30</v>
      </c>
      <c r="W123" s="26" t="s">
        <v>107</v>
      </c>
      <c r="X123" s="26">
        <v>20</v>
      </c>
      <c r="Y123" s="26" t="s">
        <v>74</v>
      </c>
      <c r="Z123" s="26" t="s">
        <v>75</v>
      </c>
      <c r="AA123" s="28">
        <f t="shared" si="53"/>
        <v>5.0000000000000001E-3</v>
      </c>
      <c r="AB123" s="28">
        <f t="shared" si="54"/>
        <v>8.5000000000000006E-2</v>
      </c>
      <c r="AC123" s="28">
        <f t="shared" ref="AC123:AC139" si="57">IF(ISNA(VLOOKUP($Q123,data,6,FALSE)),0,VLOOKUP($Q123,data,6,FALSE))</f>
        <v>8.4000000000000005E-2</v>
      </c>
      <c r="AD123" s="28">
        <f t="shared" si="52"/>
        <v>0</v>
      </c>
      <c r="AE123" s="28">
        <f t="shared" si="55"/>
        <v>6.0000000000000001E-3</v>
      </c>
      <c r="AF123" s="28">
        <f t="shared" si="45"/>
        <v>149.91999999999999</v>
      </c>
      <c r="AG123" s="28">
        <f t="shared" si="46"/>
        <v>0.02</v>
      </c>
      <c r="AH123" s="28">
        <f t="shared" si="47"/>
        <v>89.06</v>
      </c>
      <c r="AI123" s="28">
        <f t="shared" si="29"/>
        <v>0</v>
      </c>
      <c r="AJ123" s="28">
        <f t="shared" si="51"/>
        <v>60.84</v>
      </c>
      <c r="AL123" s="28">
        <f>'Report Inputs'!$E$2</f>
        <v>1080</v>
      </c>
      <c r="AM123" s="28">
        <f t="shared" si="56"/>
        <v>3.7850000000000001</v>
      </c>
      <c r="AN123" s="26" t="s">
        <v>744</v>
      </c>
      <c r="AS123" s="26" t="s">
        <v>76</v>
      </c>
      <c r="AT123" s="26" t="s">
        <v>77</v>
      </c>
      <c r="AU123" s="26" t="s">
        <v>78</v>
      </c>
      <c r="AV123" s="31">
        <f t="shared" ca="1" si="27"/>
        <v>42376.365370833337</v>
      </c>
    </row>
    <row r="124" spans="1:48">
      <c r="A124" s="26">
        <v>7</v>
      </c>
      <c r="B124" s="26">
        <f>MONTH('Report Inputs'!$B$2)</f>
        <v>11</v>
      </c>
      <c r="C124" s="26">
        <f>YEAR('Report Inputs'!$B$2)</f>
        <v>2015</v>
      </c>
      <c r="D124" s="26">
        <v>66571</v>
      </c>
      <c r="F124" s="26" t="s">
        <v>65</v>
      </c>
      <c r="G124" s="26" t="s">
        <v>66</v>
      </c>
      <c r="H124" s="26" t="s">
        <v>67</v>
      </c>
      <c r="I124" s="26" t="s">
        <v>68</v>
      </c>
      <c r="J124" s="26" t="s">
        <v>69</v>
      </c>
      <c r="K124" s="26">
        <v>713</v>
      </c>
      <c r="L124" s="26" t="s">
        <v>70</v>
      </c>
      <c r="M124" s="26">
        <v>713</v>
      </c>
      <c r="N124" s="26" t="s">
        <v>71</v>
      </c>
      <c r="O124" s="26" t="s">
        <v>72</v>
      </c>
      <c r="P124" s="26">
        <v>45</v>
      </c>
      <c r="Q124" s="27">
        <v>13852</v>
      </c>
      <c r="R124" s="26">
        <v>0</v>
      </c>
      <c r="S124" s="26" t="s">
        <v>160</v>
      </c>
      <c r="T124" s="26" t="s">
        <v>83</v>
      </c>
      <c r="U124" s="26" t="str">
        <f t="shared" si="33"/>
        <v>PR</v>
      </c>
      <c r="V124" s="26">
        <f t="shared" si="41"/>
        <v>28</v>
      </c>
      <c r="W124" s="26" t="s">
        <v>107</v>
      </c>
      <c r="X124" s="26">
        <v>20</v>
      </c>
      <c r="Y124" s="26" t="s">
        <v>74</v>
      </c>
      <c r="Z124" s="26" t="s">
        <v>75</v>
      </c>
      <c r="AA124" s="28">
        <f t="shared" si="53"/>
        <v>0.20899999999999999</v>
      </c>
      <c r="AB124" s="28">
        <f t="shared" si="54"/>
        <v>2.5640000000000001</v>
      </c>
      <c r="AC124" s="28">
        <f t="shared" si="57"/>
        <v>2.5830000000000002</v>
      </c>
      <c r="AD124" s="28">
        <f t="shared" si="52"/>
        <v>0</v>
      </c>
      <c r="AE124" s="28">
        <f t="shared" si="55"/>
        <v>0.19</v>
      </c>
      <c r="AF124" s="28">
        <f t="shared" si="45"/>
        <v>1985.93</v>
      </c>
      <c r="AG124" s="28">
        <f t="shared" si="46"/>
        <v>0.46</v>
      </c>
      <c r="AH124" s="28">
        <v>168</v>
      </c>
      <c r="AI124" s="28">
        <f t="shared" si="29"/>
        <v>0</v>
      </c>
      <c r="AJ124" s="28">
        <f t="shared" si="51"/>
        <v>1818.404</v>
      </c>
      <c r="AK124" s="30">
        <f>'Report Inputs'!$F$2</f>
        <v>55.9</v>
      </c>
      <c r="AL124" s="28">
        <f>'Report Inputs'!$E$2</f>
        <v>1080</v>
      </c>
      <c r="AM124" s="28">
        <f t="shared" si="56"/>
        <v>113.13500000000001</v>
      </c>
      <c r="AN124" s="26" t="s">
        <v>744</v>
      </c>
      <c r="AS124" s="26" t="s">
        <v>76</v>
      </c>
      <c r="AT124" s="26" t="s">
        <v>77</v>
      </c>
      <c r="AU124" s="26" t="s">
        <v>78</v>
      </c>
      <c r="AV124" s="31">
        <f t="shared" ca="1" si="27"/>
        <v>42376.365370833337</v>
      </c>
    </row>
    <row r="125" spans="1:48">
      <c r="A125" s="26">
        <v>7</v>
      </c>
      <c r="B125" s="26">
        <f>MONTH('Report Inputs'!$B$2)</f>
        <v>11</v>
      </c>
      <c r="C125" s="26">
        <f>YEAR('Report Inputs'!$B$2)</f>
        <v>2015</v>
      </c>
      <c r="D125" s="26">
        <v>66571</v>
      </c>
      <c r="F125" s="26" t="s">
        <v>65</v>
      </c>
      <c r="G125" s="26" t="s">
        <v>66</v>
      </c>
      <c r="H125" s="26" t="s">
        <v>67</v>
      </c>
      <c r="I125" s="26" t="s">
        <v>68</v>
      </c>
      <c r="J125" s="26" t="s">
        <v>69</v>
      </c>
      <c r="K125" s="26">
        <v>713</v>
      </c>
      <c r="L125" s="26" t="s">
        <v>70</v>
      </c>
      <c r="M125" s="26">
        <v>713</v>
      </c>
      <c r="N125" s="26" t="s">
        <v>71</v>
      </c>
      <c r="O125" s="26" t="s">
        <v>72</v>
      </c>
      <c r="P125" s="26">
        <v>45</v>
      </c>
      <c r="Q125" s="27">
        <v>13953</v>
      </c>
      <c r="R125" s="26">
        <v>0</v>
      </c>
      <c r="S125" s="26" t="s">
        <v>158</v>
      </c>
      <c r="T125" s="26" t="s">
        <v>80</v>
      </c>
      <c r="U125" s="26" t="str">
        <f t="shared" si="33"/>
        <v>SI</v>
      </c>
      <c r="V125" s="26">
        <f t="shared" si="41"/>
        <v>0</v>
      </c>
      <c r="W125" s="26" t="s">
        <v>107</v>
      </c>
      <c r="X125" s="26">
        <v>20</v>
      </c>
      <c r="Y125" s="26" t="s">
        <v>74</v>
      </c>
      <c r="Z125" s="26" t="s">
        <v>75</v>
      </c>
      <c r="AA125" s="28">
        <f t="shared" si="53"/>
        <v>0</v>
      </c>
      <c r="AB125" s="28">
        <f t="shared" si="54"/>
        <v>0</v>
      </c>
      <c r="AC125" s="28">
        <f t="shared" si="57"/>
        <v>0</v>
      </c>
      <c r="AD125" s="28">
        <f t="shared" si="52"/>
        <v>0</v>
      </c>
      <c r="AE125" s="28">
        <f t="shared" si="55"/>
        <v>0</v>
      </c>
      <c r="AF125" s="28">
        <f t="shared" si="45"/>
        <v>0</v>
      </c>
      <c r="AG125" s="28">
        <f t="shared" si="46"/>
        <v>0</v>
      </c>
      <c r="AH125" s="28">
        <f t="shared" si="47"/>
        <v>0</v>
      </c>
      <c r="AI125" s="28">
        <f t="shared" si="29"/>
        <v>0</v>
      </c>
      <c r="AJ125" s="28">
        <f t="shared" si="51"/>
        <v>0</v>
      </c>
      <c r="AM125" s="28">
        <f t="shared" si="56"/>
        <v>0</v>
      </c>
      <c r="AN125" s="26" t="s">
        <v>744</v>
      </c>
      <c r="AS125" s="26" t="s">
        <v>76</v>
      </c>
      <c r="AT125" s="26" t="s">
        <v>77</v>
      </c>
      <c r="AU125" s="26" t="s">
        <v>78</v>
      </c>
      <c r="AV125" s="31">
        <f t="shared" ca="1" si="27"/>
        <v>42376.365370833337</v>
      </c>
    </row>
    <row r="126" spans="1:48">
      <c r="A126" s="26">
        <v>7</v>
      </c>
      <c r="B126" s="26">
        <f>MONTH('Report Inputs'!$B$2)</f>
        <v>11</v>
      </c>
      <c r="C126" s="26">
        <f>YEAR('Report Inputs'!$B$2)</f>
        <v>2015</v>
      </c>
      <c r="D126" s="26">
        <v>66571</v>
      </c>
      <c r="F126" s="26" t="s">
        <v>65</v>
      </c>
      <c r="G126" s="26" t="s">
        <v>66</v>
      </c>
      <c r="H126" s="26" t="s">
        <v>67</v>
      </c>
      <c r="I126" s="26" t="s">
        <v>68</v>
      </c>
      <c r="J126" s="26" t="s">
        <v>69</v>
      </c>
      <c r="K126" s="26">
        <v>713</v>
      </c>
      <c r="L126" s="26" t="s">
        <v>70</v>
      </c>
      <c r="M126" s="26">
        <v>713</v>
      </c>
      <c r="N126" s="26" t="s">
        <v>71</v>
      </c>
      <c r="O126" s="26" t="s">
        <v>72</v>
      </c>
      <c r="P126" s="26">
        <v>45</v>
      </c>
      <c r="Q126" s="27">
        <v>13955</v>
      </c>
      <c r="R126" s="26">
        <v>0</v>
      </c>
      <c r="S126" s="26" t="s">
        <v>168</v>
      </c>
      <c r="T126" s="26" t="s">
        <v>80</v>
      </c>
      <c r="U126" s="26" t="str">
        <f t="shared" si="33"/>
        <v>PR</v>
      </c>
      <c r="V126" s="26">
        <v>28</v>
      </c>
      <c r="W126" s="26" t="s">
        <v>107</v>
      </c>
      <c r="X126" s="26">
        <v>20</v>
      </c>
      <c r="Y126" s="26" t="s">
        <v>74</v>
      </c>
      <c r="Z126" s="26" t="s">
        <v>75</v>
      </c>
      <c r="AA126" s="28">
        <f t="shared" si="53"/>
        <v>0.14499999999999999</v>
      </c>
      <c r="AB126" s="28">
        <f t="shared" si="54"/>
        <v>1.736</v>
      </c>
      <c r="AC126" s="28">
        <f t="shared" si="57"/>
        <v>1.754</v>
      </c>
      <c r="AD126" s="28">
        <f t="shared" si="52"/>
        <v>0</v>
      </c>
      <c r="AE126" s="28">
        <f t="shared" si="55"/>
        <v>0.127</v>
      </c>
      <c r="AF126" s="28">
        <f t="shared" si="45"/>
        <v>1427.64</v>
      </c>
      <c r="AG126" s="28">
        <f t="shared" si="46"/>
        <v>0.31</v>
      </c>
      <c r="AH126" s="28">
        <v>198</v>
      </c>
      <c r="AI126" s="28">
        <f t="shared" si="29"/>
        <v>0</v>
      </c>
      <c r="AJ126" s="28">
        <f t="shared" si="51"/>
        <v>1230.2860000000001</v>
      </c>
      <c r="AK126" s="30">
        <f>'Report Inputs'!$F$2</f>
        <v>55.9</v>
      </c>
      <c r="AL126" s="28">
        <f>'Report Inputs'!$E$2</f>
        <v>1080</v>
      </c>
      <c r="AM126" s="28">
        <f t="shared" si="56"/>
        <v>76.543999999999997</v>
      </c>
      <c r="AN126" s="26" t="s">
        <v>744</v>
      </c>
      <c r="AS126" s="26" t="s">
        <v>76</v>
      </c>
      <c r="AT126" s="26" t="s">
        <v>77</v>
      </c>
      <c r="AU126" s="26" t="s">
        <v>78</v>
      </c>
      <c r="AV126" s="31">
        <f t="shared" ca="1" si="27"/>
        <v>42376.365370833337</v>
      </c>
    </row>
    <row r="127" spans="1:48">
      <c r="A127" s="26">
        <v>7</v>
      </c>
      <c r="B127" s="26">
        <f>MONTH('Report Inputs'!$B$2)</f>
        <v>11</v>
      </c>
      <c r="C127" s="26">
        <f>YEAR('Report Inputs'!$B$2)</f>
        <v>2015</v>
      </c>
      <c r="D127" s="26">
        <v>66571</v>
      </c>
      <c r="F127" s="26" t="s">
        <v>65</v>
      </c>
      <c r="G127" s="26" t="s">
        <v>66</v>
      </c>
      <c r="H127" s="26" t="s">
        <v>67</v>
      </c>
      <c r="I127" s="26" t="s">
        <v>68</v>
      </c>
      <c r="J127" s="26" t="s">
        <v>69</v>
      </c>
      <c r="K127" s="26">
        <v>713</v>
      </c>
      <c r="L127" s="26" t="s">
        <v>70</v>
      </c>
      <c r="M127" s="26">
        <v>713</v>
      </c>
      <c r="N127" s="26" t="s">
        <v>71</v>
      </c>
      <c r="O127" s="26" t="s">
        <v>72</v>
      </c>
      <c r="P127" s="26">
        <v>45</v>
      </c>
      <c r="Q127" s="27">
        <v>13957</v>
      </c>
      <c r="R127" s="26">
        <v>0</v>
      </c>
      <c r="S127" s="26" t="s">
        <v>173</v>
      </c>
      <c r="T127" s="26" t="s">
        <v>80</v>
      </c>
      <c r="U127" s="26" t="str">
        <f t="shared" si="33"/>
        <v>PR</v>
      </c>
      <c r="V127" s="26">
        <f t="shared" si="41"/>
        <v>30</v>
      </c>
      <c r="W127" s="26" t="s">
        <v>107</v>
      </c>
      <c r="X127" s="26">
        <v>20</v>
      </c>
      <c r="Y127" s="26" t="s">
        <v>74</v>
      </c>
      <c r="Z127" s="26" t="s">
        <v>75</v>
      </c>
      <c r="AA127" s="28">
        <f t="shared" si="53"/>
        <v>0.49199999999999999</v>
      </c>
      <c r="AB127" s="28">
        <f t="shared" si="54"/>
        <v>6.431</v>
      </c>
      <c r="AC127" s="28">
        <f t="shared" si="57"/>
        <v>6.4530000000000003</v>
      </c>
      <c r="AD127" s="28">
        <f t="shared" ref="AD127:AD153" si="58">ROUND(AC127,0)+ROUND(AE127,0)-ROUND(AA127,0)-ROUND(AB127,0)</f>
        <v>0</v>
      </c>
      <c r="AE127" s="28">
        <f t="shared" si="55"/>
        <v>0.47</v>
      </c>
      <c r="AF127" s="28">
        <f t="shared" si="45"/>
        <v>4910.96</v>
      </c>
      <c r="AG127" s="28">
        <f t="shared" si="46"/>
        <v>1.1399999999999999</v>
      </c>
      <c r="AH127" s="28">
        <f t="shared" si="47"/>
        <v>350.94299999999998</v>
      </c>
      <c r="AI127" s="28">
        <f t="shared" si="29"/>
        <v>0</v>
      </c>
      <c r="AJ127" s="28">
        <f t="shared" si="51"/>
        <v>4558.8770000000004</v>
      </c>
      <c r="AK127" s="30">
        <f>'Report Inputs'!$F$2</f>
        <v>55.9</v>
      </c>
      <c r="AL127" s="28">
        <f>'Report Inputs'!$E$2</f>
        <v>1080</v>
      </c>
      <c r="AM127" s="28">
        <f t="shared" si="56"/>
        <v>283.637</v>
      </c>
      <c r="AN127" s="26" t="s">
        <v>744</v>
      </c>
      <c r="AS127" s="26" t="s">
        <v>76</v>
      </c>
      <c r="AT127" s="26" t="s">
        <v>77</v>
      </c>
      <c r="AU127" s="26" t="s">
        <v>78</v>
      </c>
      <c r="AV127" s="31">
        <f t="shared" ref="AV127:AV190" ca="1" si="59">NOW()</f>
        <v>42376.365370833337</v>
      </c>
    </row>
    <row r="128" spans="1:48">
      <c r="A128" s="26">
        <v>7</v>
      </c>
      <c r="B128" s="26">
        <f>MONTH('Report Inputs'!$B$2)</f>
        <v>11</v>
      </c>
      <c r="C128" s="26">
        <f>YEAR('Report Inputs'!$B$2)</f>
        <v>2015</v>
      </c>
      <c r="D128" s="26">
        <v>66571</v>
      </c>
      <c r="F128" s="26" t="s">
        <v>65</v>
      </c>
      <c r="G128" s="26" t="s">
        <v>66</v>
      </c>
      <c r="H128" s="26" t="s">
        <v>67</v>
      </c>
      <c r="I128" s="26" t="s">
        <v>68</v>
      </c>
      <c r="J128" s="26" t="s">
        <v>69</v>
      </c>
      <c r="K128" s="26">
        <v>713</v>
      </c>
      <c r="L128" s="26" t="s">
        <v>70</v>
      </c>
      <c r="M128" s="26">
        <v>713</v>
      </c>
      <c r="N128" s="26" t="s">
        <v>71</v>
      </c>
      <c r="O128" s="26" t="s">
        <v>72</v>
      </c>
      <c r="P128" s="26">
        <v>45</v>
      </c>
      <c r="Q128" s="27">
        <v>13958</v>
      </c>
      <c r="R128" s="26">
        <v>0</v>
      </c>
      <c r="S128" s="26" t="s">
        <v>171</v>
      </c>
      <c r="T128" s="26" t="s">
        <v>80</v>
      </c>
      <c r="U128" s="26" t="str">
        <f t="shared" si="33"/>
        <v>PR</v>
      </c>
      <c r="V128" s="26">
        <f t="shared" si="41"/>
        <v>30</v>
      </c>
      <c r="W128" s="26" t="s">
        <v>107</v>
      </c>
      <c r="X128" s="26">
        <v>20</v>
      </c>
      <c r="Y128" s="26" t="s">
        <v>74</v>
      </c>
      <c r="Z128" s="26" t="s">
        <v>75</v>
      </c>
      <c r="AA128" s="28">
        <f t="shared" si="53"/>
        <v>0.308</v>
      </c>
      <c r="AB128" s="28">
        <f t="shared" si="54"/>
        <v>5.0979999999999999</v>
      </c>
      <c r="AC128" s="28">
        <f t="shared" si="57"/>
        <v>5.0410000000000004</v>
      </c>
      <c r="AD128" s="28">
        <f t="shared" si="58"/>
        <v>0</v>
      </c>
      <c r="AE128" s="28">
        <f t="shared" si="55"/>
        <v>0.36499999999999999</v>
      </c>
      <c r="AF128" s="28">
        <f t="shared" si="45"/>
        <v>2905.38</v>
      </c>
      <c r="AG128" s="28">
        <f t="shared" si="46"/>
        <v>0.91</v>
      </c>
      <c r="AH128" s="28">
        <v>206</v>
      </c>
      <c r="AI128" s="28">
        <f t="shared" si="29"/>
        <v>0</v>
      </c>
      <c r="AJ128" s="28">
        <f t="shared" si="51"/>
        <v>2697.5219999999999</v>
      </c>
      <c r="AK128" s="30">
        <f>'Report Inputs'!$F$2</f>
        <v>55.9</v>
      </c>
      <c r="AL128" s="28">
        <f>'Report Inputs'!$E$2</f>
        <v>1080</v>
      </c>
      <c r="AM128" s="28">
        <f t="shared" si="56"/>
        <v>224.88900000000001</v>
      </c>
      <c r="AN128" s="26" t="s">
        <v>744</v>
      </c>
      <c r="AS128" s="26" t="s">
        <v>76</v>
      </c>
      <c r="AT128" s="26" t="s">
        <v>77</v>
      </c>
      <c r="AU128" s="26" t="s">
        <v>78</v>
      </c>
      <c r="AV128" s="31">
        <f t="shared" ca="1" si="59"/>
        <v>42376.365370833337</v>
      </c>
    </row>
    <row r="129" spans="1:48">
      <c r="A129" s="26">
        <v>7</v>
      </c>
      <c r="B129" s="26">
        <f>MONTH('Report Inputs'!$B$2)</f>
        <v>11</v>
      </c>
      <c r="C129" s="26">
        <f>YEAR('Report Inputs'!$B$2)</f>
        <v>2015</v>
      </c>
      <c r="D129" s="26">
        <v>66571</v>
      </c>
      <c r="F129" s="26" t="s">
        <v>65</v>
      </c>
      <c r="G129" s="26" t="s">
        <v>66</v>
      </c>
      <c r="H129" s="26" t="s">
        <v>67</v>
      </c>
      <c r="I129" s="26" t="s">
        <v>68</v>
      </c>
      <c r="J129" s="26" t="s">
        <v>69</v>
      </c>
      <c r="K129" s="26">
        <v>713</v>
      </c>
      <c r="L129" s="26" t="s">
        <v>70</v>
      </c>
      <c r="M129" s="26">
        <v>713</v>
      </c>
      <c r="N129" s="26" t="s">
        <v>71</v>
      </c>
      <c r="O129" s="26" t="s">
        <v>72</v>
      </c>
      <c r="P129" s="26">
        <v>45</v>
      </c>
      <c r="Q129" s="27">
        <v>13983</v>
      </c>
      <c r="R129" s="26">
        <v>0</v>
      </c>
      <c r="S129" s="26" t="s">
        <v>275</v>
      </c>
      <c r="T129" s="26" t="s">
        <v>83</v>
      </c>
      <c r="U129" s="26" t="str">
        <f t="shared" si="33"/>
        <v>PR</v>
      </c>
      <c r="V129" s="26">
        <f t="shared" si="41"/>
        <v>30</v>
      </c>
      <c r="W129" s="26" t="s">
        <v>94</v>
      </c>
      <c r="X129" s="26">
        <v>16</v>
      </c>
      <c r="Y129" s="26" t="s">
        <v>74</v>
      </c>
      <c r="Z129" s="26" t="s">
        <v>75</v>
      </c>
      <c r="AA129" s="28">
        <f t="shared" si="53"/>
        <v>0.59599999999999997</v>
      </c>
      <c r="AB129" s="28">
        <f t="shared" si="54"/>
        <v>22.684000000000001</v>
      </c>
      <c r="AC129" s="28">
        <f t="shared" si="57"/>
        <v>22.324000000000002</v>
      </c>
      <c r="AD129" s="28">
        <f t="shared" si="58"/>
        <v>-1</v>
      </c>
      <c r="AE129" s="28">
        <f t="shared" si="55"/>
        <v>0.95599999999999996</v>
      </c>
      <c r="AF129" s="28">
        <f t="shared" si="45"/>
        <v>3097.94</v>
      </c>
      <c r="AG129" s="28">
        <f t="shared" si="46"/>
        <v>4.51</v>
      </c>
      <c r="AH129" s="28">
        <f t="shared" si="47"/>
        <v>269.35000000000002</v>
      </c>
      <c r="AI129" s="28">
        <f t="shared" ref="AI129:AI192" si="60">ROUND(AF129,0)-ROUND(AG129,0)-ROUND(AH129,0)-ROUND(AJ129,0)</f>
        <v>0</v>
      </c>
      <c r="AJ129" s="28">
        <f t="shared" si="51"/>
        <v>2824.08</v>
      </c>
      <c r="AK129" s="30">
        <f>'Report Inputs'!$F$2</f>
        <v>55.9</v>
      </c>
      <c r="AL129" s="28">
        <f>'Report Inputs'!$E$2</f>
        <v>1080</v>
      </c>
      <c r="AM129" s="28">
        <f t="shared" si="56"/>
        <v>62.719000000000001</v>
      </c>
      <c r="AN129" s="26" t="s">
        <v>744</v>
      </c>
      <c r="AS129" s="26" t="s">
        <v>76</v>
      </c>
      <c r="AT129" s="26" t="s">
        <v>77</v>
      </c>
      <c r="AU129" s="26" t="s">
        <v>78</v>
      </c>
      <c r="AV129" s="31">
        <f t="shared" ca="1" si="59"/>
        <v>42376.365370833337</v>
      </c>
    </row>
    <row r="130" spans="1:48">
      <c r="A130" s="26">
        <v>7</v>
      </c>
      <c r="B130" s="26">
        <f>MONTH('Report Inputs'!$B$2)</f>
        <v>11</v>
      </c>
      <c r="C130" s="26">
        <f>YEAR('Report Inputs'!$B$2)</f>
        <v>2015</v>
      </c>
      <c r="D130" s="26">
        <v>66571</v>
      </c>
      <c r="F130" s="26" t="s">
        <v>65</v>
      </c>
      <c r="G130" s="26" t="s">
        <v>66</v>
      </c>
      <c r="H130" s="26" t="s">
        <v>67</v>
      </c>
      <c r="I130" s="26" t="s">
        <v>68</v>
      </c>
      <c r="J130" s="26" t="s">
        <v>69</v>
      </c>
      <c r="K130" s="26">
        <v>713</v>
      </c>
      <c r="L130" s="26" t="s">
        <v>70</v>
      </c>
      <c r="M130" s="26">
        <v>713</v>
      </c>
      <c r="N130" s="26" t="s">
        <v>71</v>
      </c>
      <c r="O130" s="26" t="s">
        <v>72</v>
      </c>
      <c r="P130" s="26">
        <v>45</v>
      </c>
      <c r="Q130" s="27">
        <v>13985</v>
      </c>
      <c r="R130" s="26">
        <v>0</v>
      </c>
      <c r="S130" s="26" t="s">
        <v>277</v>
      </c>
      <c r="T130" s="26" t="s">
        <v>80</v>
      </c>
      <c r="U130" s="26" t="str">
        <f t="shared" si="33"/>
        <v>PR</v>
      </c>
      <c r="V130" s="26">
        <f t="shared" ref="V130:V139" si="61">IF(ISNA(VLOOKUP($Q130,data,4,FALSE)),0,VLOOKUP($Q130,data,4,FALSE))</f>
        <v>30</v>
      </c>
      <c r="W130" s="26" t="s">
        <v>94</v>
      </c>
      <c r="X130" s="26">
        <v>16</v>
      </c>
      <c r="Y130" s="26" t="s">
        <v>74</v>
      </c>
      <c r="Z130" s="26" t="s">
        <v>75</v>
      </c>
      <c r="AA130" s="28">
        <f t="shared" si="53"/>
        <v>0.68700000000000006</v>
      </c>
      <c r="AB130" s="28">
        <f t="shared" si="54"/>
        <v>27.443000000000001</v>
      </c>
      <c r="AC130" s="28">
        <f t="shared" si="57"/>
        <v>26.975000000000001</v>
      </c>
      <c r="AD130" s="28">
        <f t="shared" si="58"/>
        <v>0</v>
      </c>
      <c r="AE130" s="28">
        <f t="shared" si="55"/>
        <v>1.155</v>
      </c>
      <c r="AF130" s="28">
        <f t="shared" si="45"/>
        <v>3718.08</v>
      </c>
      <c r="AG130" s="28">
        <f t="shared" si="46"/>
        <v>5.45</v>
      </c>
      <c r="AH130" s="28">
        <v>297</v>
      </c>
      <c r="AI130" s="28">
        <f t="shared" si="60"/>
        <v>0</v>
      </c>
      <c r="AJ130" s="28">
        <f t="shared" si="51"/>
        <v>3416.4079999999999</v>
      </c>
      <c r="AK130" s="30">
        <f>'Report Inputs'!$F$2</f>
        <v>55.9</v>
      </c>
      <c r="AL130" s="28">
        <f>'Report Inputs'!$E$2</f>
        <v>1080</v>
      </c>
      <c r="AM130" s="28">
        <f t="shared" si="56"/>
        <v>75.873999999999995</v>
      </c>
      <c r="AN130" s="26" t="s">
        <v>744</v>
      </c>
      <c r="AS130" s="26" t="s">
        <v>76</v>
      </c>
      <c r="AT130" s="26" t="s">
        <v>77</v>
      </c>
      <c r="AU130" s="26" t="s">
        <v>78</v>
      </c>
      <c r="AV130" s="31">
        <f t="shared" ca="1" si="59"/>
        <v>42376.365370833337</v>
      </c>
    </row>
    <row r="131" spans="1:48">
      <c r="A131" s="26">
        <v>7</v>
      </c>
      <c r="B131" s="26">
        <f>MONTH('Report Inputs'!$B$2)</f>
        <v>11</v>
      </c>
      <c r="C131" s="26">
        <f>YEAR('Report Inputs'!$B$2)</f>
        <v>2015</v>
      </c>
      <c r="D131" s="26">
        <v>66571</v>
      </c>
      <c r="F131" s="26" t="s">
        <v>65</v>
      </c>
      <c r="G131" s="26" t="s">
        <v>66</v>
      </c>
      <c r="H131" s="26" t="s">
        <v>67</v>
      </c>
      <c r="I131" s="26" t="s">
        <v>68</v>
      </c>
      <c r="J131" s="26" t="s">
        <v>69</v>
      </c>
      <c r="K131" s="26">
        <v>713</v>
      </c>
      <c r="L131" s="26" t="s">
        <v>70</v>
      </c>
      <c r="M131" s="26">
        <v>713</v>
      </c>
      <c r="N131" s="26" t="s">
        <v>71</v>
      </c>
      <c r="O131" s="26" t="s">
        <v>72</v>
      </c>
      <c r="P131" s="26">
        <v>45</v>
      </c>
      <c r="Q131" s="27">
        <v>13986</v>
      </c>
      <c r="R131" s="26">
        <v>0</v>
      </c>
      <c r="S131" s="26" t="s">
        <v>278</v>
      </c>
      <c r="T131" s="26" t="s">
        <v>80</v>
      </c>
      <c r="U131" s="26" t="str">
        <f t="shared" si="33"/>
        <v>PR</v>
      </c>
      <c r="V131" s="26">
        <f t="shared" si="61"/>
        <v>30</v>
      </c>
      <c r="W131" s="26" t="s">
        <v>94</v>
      </c>
      <c r="X131" s="26">
        <v>16</v>
      </c>
      <c r="Y131" s="26" t="s">
        <v>74</v>
      </c>
      <c r="Z131" s="26" t="s">
        <v>75</v>
      </c>
      <c r="AA131" s="28">
        <f t="shared" si="53"/>
        <v>0.91500000000000004</v>
      </c>
      <c r="AB131" s="28">
        <f t="shared" si="54"/>
        <v>37.356000000000002</v>
      </c>
      <c r="AC131" s="28">
        <f t="shared" si="57"/>
        <v>36.701000000000001</v>
      </c>
      <c r="AD131" s="28">
        <f t="shared" si="58"/>
        <v>1</v>
      </c>
      <c r="AE131" s="28">
        <f t="shared" si="55"/>
        <v>1.57</v>
      </c>
      <c r="AF131" s="28">
        <f t="shared" si="45"/>
        <v>5013.62</v>
      </c>
      <c r="AG131" s="28">
        <f t="shared" si="46"/>
        <v>7.42</v>
      </c>
      <c r="AH131" s="28">
        <f t="shared" si="47"/>
        <v>355.68</v>
      </c>
      <c r="AI131" s="28">
        <f t="shared" si="60"/>
        <v>0</v>
      </c>
      <c r="AJ131" s="28">
        <f t="shared" si="51"/>
        <v>4650.5200000000004</v>
      </c>
      <c r="AK131" s="30">
        <f>'Report Inputs'!$F$2</f>
        <v>55.9</v>
      </c>
      <c r="AL131" s="28">
        <f>'Report Inputs'!$E$2</f>
        <v>1080</v>
      </c>
      <c r="AM131" s="28">
        <f t="shared" si="56"/>
        <v>103.282</v>
      </c>
      <c r="AN131" s="26" t="s">
        <v>744</v>
      </c>
      <c r="AS131" s="26" t="s">
        <v>76</v>
      </c>
      <c r="AT131" s="26" t="s">
        <v>77</v>
      </c>
      <c r="AU131" s="26" t="s">
        <v>78</v>
      </c>
      <c r="AV131" s="31">
        <f t="shared" ca="1" si="59"/>
        <v>42376.365370833337</v>
      </c>
    </row>
    <row r="132" spans="1:48">
      <c r="A132" s="26">
        <v>7</v>
      </c>
      <c r="B132" s="26">
        <f>MONTH('Report Inputs'!$B$2)</f>
        <v>11</v>
      </c>
      <c r="C132" s="26">
        <f>YEAR('Report Inputs'!$B$2)</f>
        <v>2015</v>
      </c>
      <c r="D132" s="26">
        <v>66571</v>
      </c>
      <c r="F132" s="26" t="s">
        <v>65</v>
      </c>
      <c r="G132" s="26" t="s">
        <v>66</v>
      </c>
      <c r="H132" s="26" t="s">
        <v>67</v>
      </c>
      <c r="I132" s="26" t="s">
        <v>68</v>
      </c>
      <c r="J132" s="26" t="s">
        <v>69</v>
      </c>
      <c r="K132" s="26">
        <v>713</v>
      </c>
      <c r="L132" s="26" t="s">
        <v>70</v>
      </c>
      <c r="M132" s="26">
        <v>713</v>
      </c>
      <c r="N132" s="26" t="s">
        <v>71</v>
      </c>
      <c r="O132" s="26" t="s">
        <v>72</v>
      </c>
      <c r="P132" s="26">
        <v>45</v>
      </c>
      <c r="Q132" s="27">
        <v>13987</v>
      </c>
      <c r="R132" s="26">
        <v>0</v>
      </c>
      <c r="S132" s="26" t="s">
        <v>804</v>
      </c>
      <c r="T132" s="26" t="s">
        <v>80</v>
      </c>
      <c r="U132" s="26" t="str">
        <f t="shared" ref="U132:U195" si="62">IF(V132&gt;0,"PR","SI")</f>
        <v>PR</v>
      </c>
      <c r="V132" s="26">
        <f t="shared" si="61"/>
        <v>30</v>
      </c>
      <c r="W132" s="26" t="s">
        <v>94</v>
      </c>
      <c r="X132" s="26">
        <v>16</v>
      </c>
      <c r="Y132" s="26" t="s">
        <v>74</v>
      </c>
      <c r="Z132" s="26" t="s">
        <v>75</v>
      </c>
      <c r="AA132" s="28">
        <f t="shared" si="53"/>
        <v>0.18099999999999999</v>
      </c>
      <c r="AB132" s="28">
        <f t="shared" si="54"/>
        <v>6.5289999999999999</v>
      </c>
      <c r="AC132" s="28">
        <f t="shared" si="57"/>
        <v>6.4340000000000002</v>
      </c>
      <c r="AD132" s="28">
        <f t="shared" si="58"/>
        <v>-1</v>
      </c>
      <c r="AE132" s="28">
        <f t="shared" si="55"/>
        <v>0.27600000000000002</v>
      </c>
      <c r="AF132" s="28">
        <f t="shared" si="45"/>
        <v>994.64</v>
      </c>
      <c r="AG132" s="28">
        <f t="shared" si="46"/>
        <v>1.3</v>
      </c>
      <c r="AH132" s="28">
        <v>181</v>
      </c>
      <c r="AI132" s="28">
        <f t="shared" si="60"/>
        <v>0</v>
      </c>
      <c r="AJ132" s="28">
        <f t="shared" si="51"/>
        <v>812.92</v>
      </c>
      <c r="AK132" s="30">
        <f>'Report Inputs'!$F$2</f>
        <v>55.9</v>
      </c>
      <c r="AL132" s="28">
        <f>'Report Inputs'!$E$2</f>
        <v>1080</v>
      </c>
      <c r="AM132" s="28">
        <f t="shared" si="56"/>
        <v>18.053999999999998</v>
      </c>
      <c r="AN132" s="26" t="s">
        <v>744</v>
      </c>
      <c r="AS132" s="26" t="s">
        <v>76</v>
      </c>
      <c r="AT132" s="26" t="s">
        <v>77</v>
      </c>
      <c r="AU132" s="26" t="s">
        <v>78</v>
      </c>
      <c r="AV132" s="31">
        <f t="shared" ca="1" si="59"/>
        <v>42376.365370833337</v>
      </c>
    </row>
    <row r="133" spans="1:48">
      <c r="A133" s="26">
        <v>7</v>
      </c>
      <c r="B133" s="26">
        <f>MONTH('Report Inputs'!$B$2)</f>
        <v>11</v>
      </c>
      <c r="C133" s="26">
        <f>YEAR('Report Inputs'!$B$2)</f>
        <v>2015</v>
      </c>
      <c r="D133" s="26">
        <v>66571</v>
      </c>
      <c r="F133" s="26" t="s">
        <v>65</v>
      </c>
      <c r="G133" s="26" t="s">
        <v>66</v>
      </c>
      <c r="H133" s="26" t="s">
        <v>67</v>
      </c>
      <c r="I133" s="26" t="s">
        <v>68</v>
      </c>
      <c r="J133" s="26" t="s">
        <v>69</v>
      </c>
      <c r="K133" s="26">
        <v>713</v>
      </c>
      <c r="L133" s="26" t="s">
        <v>70</v>
      </c>
      <c r="M133" s="26">
        <v>713</v>
      </c>
      <c r="N133" s="26" t="s">
        <v>71</v>
      </c>
      <c r="O133" s="26" t="s">
        <v>72</v>
      </c>
      <c r="P133" s="26">
        <v>45</v>
      </c>
      <c r="Q133" s="27">
        <v>13988</v>
      </c>
      <c r="R133" s="26">
        <v>0</v>
      </c>
      <c r="S133" s="26" t="s">
        <v>255</v>
      </c>
      <c r="T133" s="26" t="s">
        <v>80</v>
      </c>
      <c r="U133" s="26" t="str">
        <f t="shared" si="62"/>
        <v>PR</v>
      </c>
      <c r="V133" s="26">
        <f t="shared" si="61"/>
        <v>30</v>
      </c>
      <c r="W133" s="26" t="s">
        <v>94</v>
      </c>
      <c r="X133" s="26">
        <v>16</v>
      </c>
      <c r="Y133" s="26" t="s">
        <v>74</v>
      </c>
      <c r="Z133" s="26" t="s">
        <v>75</v>
      </c>
      <c r="AA133" s="28">
        <f t="shared" si="53"/>
        <v>0.55600000000000005</v>
      </c>
      <c r="AB133" s="28">
        <f t="shared" si="54"/>
        <v>22.202000000000002</v>
      </c>
      <c r="AC133" s="28">
        <f t="shared" si="57"/>
        <v>21.824999999999999</v>
      </c>
      <c r="AD133" s="28">
        <f t="shared" si="58"/>
        <v>0</v>
      </c>
      <c r="AE133" s="28">
        <f t="shared" si="55"/>
        <v>0.93300000000000005</v>
      </c>
      <c r="AF133" s="28">
        <f t="shared" si="45"/>
        <v>3035.04</v>
      </c>
      <c r="AG133" s="28">
        <f t="shared" si="46"/>
        <v>4.41</v>
      </c>
      <c r="AH133" s="28">
        <f t="shared" si="47"/>
        <v>266.625</v>
      </c>
      <c r="AI133" s="28">
        <f t="shared" si="60"/>
        <v>0</v>
      </c>
      <c r="AJ133" s="28">
        <f t="shared" si="51"/>
        <v>2764.0050000000001</v>
      </c>
      <c r="AK133" s="30">
        <f>'Report Inputs'!$F$2</f>
        <v>55.9</v>
      </c>
      <c r="AL133" s="28">
        <f>'Report Inputs'!$E$2</f>
        <v>1080</v>
      </c>
      <c r="AM133" s="28">
        <f t="shared" si="56"/>
        <v>61.384999999999998</v>
      </c>
      <c r="AN133" s="26" t="s">
        <v>744</v>
      </c>
      <c r="AS133" s="26" t="s">
        <v>76</v>
      </c>
      <c r="AT133" s="26" t="s">
        <v>77</v>
      </c>
      <c r="AU133" s="26" t="s">
        <v>78</v>
      </c>
      <c r="AV133" s="31">
        <f t="shared" ca="1" si="59"/>
        <v>42376.365370833337</v>
      </c>
    </row>
    <row r="134" spans="1:48">
      <c r="A134" s="26">
        <v>7</v>
      </c>
      <c r="B134" s="26">
        <f>MONTH('Report Inputs'!$B$2)</f>
        <v>11</v>
      </c>
      <c r="C134" s="26">
        <f>YEAR('Report Inputs'!$B$2)</f>
        <v>2015</v>
      </c>
      <c r="D134" s="26">
        <v>66571</v>
      </c>
      <c r="F134" s="26" t="s">
        <v>65</v>
      </c>
      <c r="G134" s="26" t="s">
        <v>66</v>
      </c>
      <c r="H134" s="26" t="s">
        <v>67</v>
      </c>
      <c r="I134" s="26" t="s">
        <v>68</v>
      </c>
      <c r="J134" s="26" t="s">
        <v>69</v>
      </c>
      <c r="K134" s="26">
        <v>713</v>
      </c>
      <c r="L134" s="26" t="s">
        <v>70</v>
      </c>
      <c r="M134" s="26">
        <v>713</v>
      </c>
      <c r="N134" s="26" t="s">
        <v>71</v>
      </c>
      <c r="O134" s="26" t="s">
        <v>72</v>
      </c>
      <c r="P134" s="26">
        <v>45</v>
      </c>
      <c r="Q134" s="27">
        <v>13990</v>
      </c>
      <c r="R134" s="26">
        <v>0</v>
      </c>
      <c r="S134" s="26" t="s">
        <v>257</v>
      </c>
      <c r="T134" s="26" t="s">
        <v>80</v>
      </c>
      <c r="U134" s="26" t="str">
        <f t="shared" si="62"/>
        <v>SI</v>
      </c>
      <c r="V134" s="26">
        <f t="shared" si="61"/>
        <v>0</v>
      </c>
      <c r="W134" s="26" t="s">
        <v>94</v>
      </c>
      <c r="X134" s="26">
        <v>16</v>
      </c>
      <c r="Y134" s="26" t="s">
        <v>74</v>
      </c>
      <c r="Z134" s="26" t="s">
        <v>75</v>
      </c>
      <c r="AA134" s="28">
        <f t="shared" si="53"/>
        <v>0.01</v>
      </c>
      <c r="AB134" s="28">
        <f t="shared" si="54"/>
        <v>0</v>
      </c>
      <c r="AC134" s="28">
        <f t="shared" si="57"/>
        <v>0.01</v>
      </c>
      <c r="AD134" s="28">
        <f t="shared" si="58"/>
        <v>0</v>
      </c>
      <c r="AE134" s="28">
        <f t="shared" si="55"/>
        <v>0</v>
      </c>
      <c r="AF134" s="28">
        <f t="shared" si="45"/>
        <v>0</v>
      </c>
      <c r="AG134" s="28">
        <f t="shared" si="46"/>
        <v>0</v>
      </c>
      <c r="AH134" s="28">
        <f t="shared" si="47"/>
        <v>0</v>
      </c>
      <c r="AI134" s="28">
        <f t="shared" si="60"/>
        <v>0</v>
      </c>
      <c r="AJ134" s="28">
        <f t="shared" si="51"/>
        <v>0</v>
      </c>
      <c r="AM134" s="28">
        <f t="shared" si="56"/>
        <v>0</v>
      </c>
      <c r="AN134" s="26" t="s">
        <v>744</v>
      </c>
      <c r="AS134" s="26" t="s">
        <v>76</v>
      </c>
      <c r="AT134" s="26" t="s">
        <v>77</v>
      </c>
      <c r="AU134" s="26" t="s">
        <v>78</v>
      </c>
      <c r="AV134" s="31">
        <f t="shared" ca="1" si="59"/>
        <v>42376.365370833337</v>
      </c>
    </row>
    <row r="135" spans="1:48">
      <c r="A135" s="26">
        <v>7</v>
      </c>
      <c r="B135" s="26">
        <f>MONTH('Report Inputs'!$B$2)</f>
        <v>11</v>
      </c>
      <c r="C135" s="26">
        <f>YEAR('Report Inputs'!$B$2)</f>
        <v>2015</v>
      </c>
      <c r="D135" s="26">
        <v>66571</v>
      </c>
      <c r="F135" s="26" t="s">
        <v>65</v>
      </c>
      <c r="G135" s="26" t="s">
        <v>66</v>
      </c>
      <c r="H135" s="26" t="s">
        <v>67</v>
      </c>
      <c r="I135" s="26" t="s">
        <v>68</v>
      </c>
      <c r="J135" s="26" t="s">
        <v>69</v>
      </c>
      <c r="K135" s="26">
        <v>713</v>
      </c>
      <c r="L135" s="26" t="s">
        <v>70</v>
      </c>
      <c r="M135" s="26">
        <v>713</v>
      </c>
      <c r="N135" s="26" t="s">
        <v>71</v>
      </c>
      <c r="O135" s="26" t="s">
        <v>72</v>
      </c>
      <c r="P135" s="26">
        <v>45</v>
      </c>
      <c r="Q135" s="27">
        <v>13991</v>
      </c>
      <c r="R135" s="26">
        <v>0</v>
      </c>
      <c r="S135" s="26" t="s">
        <v>805</v>
      </c>
      <c r="T135" s="26" t="s">
        <v>80</v>
      </c>
      <c r="U135" s="26" t="str">
        <f t="shared" si="62"/>
        <v>PR</v>
      </c>
      <c r="V135" s="26">
        <f t="shared" si="61"/>
        <v>30</v>
      </c>
      <c r="W135" s="26" t="s">
        <v>94</v>
      </c>
      <c r="X135" s="26">
        <v>16</v>
      </c>
      <c r="Y135" s="26" t="s">
        <v>74</v>
      </c>
      <c r="Z135" s="26" t="s">
        <v>75</v>
      </c>
      <c r="AA135" s="28">
        <f t="shared" si="53"/>
        <v>1.0569999999999999</v>
      </c>
      <c r="AB135" s="28">
        <f t="shared" si="54"/>
        <v>43.41</v>
      </c>
      <c r="AC135" s="28">
        <f t="shared" si="57"/>
        <v>42.643000000000001</v>
      </c>
      <c r="AD135" s="28">
        <f t="shared" si="58"/>
        <v>1</v>
      </c>
      <c r="AE135" s="28">
        <f t="shared" si="55"/>
        <v>1.8240000000000001</v>
      </c>
      <c r="AF135" s="28">
        <f t="shared" si="45"/>
        <v>5827.89</v>
      </c>
      <c r="AG135" s="28">
        <f t="shared" si="46"/>
        <v>8.6199999999999992</v>
      </c>
      <c r="AH135" s="28">
        <v>414</v>
      </c>
      <c r="AI135" s="28">
        <f t="shared" si="60"/>
        <v>0</v>
      </c>
      <c r="AJ135" s="28">
        <f t="shared" si="51"/>
        <v>5404.5140000000001</v>
      </c>
      <c r="AK135" s="30">
        <f>'Report Inputs'!$F$2</f>
        <v>55.9</v>
      </c>
      <c r="AL135" s="28">
        <f>'Report Inputs'!$E$2</f>
        <v>1080</v>
      </c>
      <c r="AM135" s="28">
        <f t="shared" si="56"/>
        <v>120.026</v>
      </c>
      <c r="AN135" s="26" t="s">
        <v>744</v>
      </c>
      <c r="AS135" s="26" t="s">
        <v>76</v>
      </c>
      <c r="AT135" s="26" t="s">
        <v>77</v>
      </c>
      <c r="AU135" s="26" t="s">
        <v>78</v>
      </c>
      <c r="AV135" s="31">
        <f t="shared" ca="1" si="59"/>
        <v>42376.365370833337</v>
      </c>
    </row>
    <row r="136" spans="1:48">
      <c r="A136" s="26">
        <v>7</v>
      </c>
      <c r="B136" s="26">
        <f>MONTH('Report Inputs'!$B$2)</f>
        <v>11</v>
      </c>
      <c r="C136" s="26">
        <f>YEAR('Report Inputs'!$B$2)</f>
        <v>2015</v>
      </c>
      <c r="D136" s="26">
        <v>66571</v>
      </c>
      <c r="F136" s="26" t="s">
        <v>65</v>
      </c>
      <c r="G136" s="26" t="s">
        <v>66</v>
      </c>
      <c r="H136" s="26" t="s">
        <v>67</v>
      </c>
      <c r="I136" s="26" t="s">
        <v>68</v>
      </c>
      <c r="J136" s="26" t="s">
        <v>69</v>
      </c>
      <c r="K136" s="26">
        <v>713</v>
      </c>
      <c r="L136" s="26" t="s">
        <v>70</v>
      </c>
      <c r="M136" s="26">
        <v>713</v>
      </c>
      <c r="N136" s="26" t="s">
        <v>71</v>
      </c>
      <c r="O136" s="26" t="s">
        <v>72</v>
      </c>
      <c r="P136" s="26">
        <v>45</v>
      </c>
      <c r="Q136" s="27">
        <v>13992</v>
      </c>
      <c r="R136" s="26">
        <v>0</v>
      </c>
      <c r="S136" s="26" t="s">
        <v>657</v>
      </c>
      <c r="T136" s="26" t="s">
        <v>80</v>
      </c>
      <c r="U136" s="26" t="str">
        <f t="shared" si="62"/>
        <v>PR</v>
      </c>
      <c r="V136" s="26">
        <f t="shared" si="61"/>
        <v>30</v>
      </c>
      <c r="W136" s="26" t="s">
        <v>94</v>
      </c>
      <c r="X136" s="26">
        <v>16</v>
      </c>
      <c r="Y136" s="26" t="s">
        <v>74</v>
      </c>
      <c r="Z136" s="26" t="s">
        <v>75</v>
      </c>
      <c r="AA136" s="28">
        <f t="shared" si="53"/>
        <v>0.54600000000000004</v>
      </c>
      <c r="AB136" s="28">
        <f t="shared" si="54"/>
        <v>21.864000000000001</v>
      </c>
      <c r="AC136" s="28">
        <f t="shared" si="57"/>
        <v>21.49</v>
      </c>
      <c r="AD136" s="28">
        <f t="shared" si="58"/>
        <v>-1</v>
      </c>
      <c r="AE136" s="28">
        <f t="shared" si="55"/>
        <v>0.92</v>
      </c>
      <c r="AF136" s="28">
        <f t="shared" si="45"/>
        <v>3019.31</v>
      </c>
      <c r="AG136" s="28">
        <f t="shared" si="46"/>
        <v>4.34</v>
      </c>
      <c r="AH136" s="28">
        <f t="shared" si="47"/>
        <v>293.05500000000001</v>
      </c>
      <c r="AI136" s="28">
        <f t="shared" si="60"/>
        <v>0</v>
      </c>
      <c r="AJ136" s="28">
        <f t="shared" si="51"/>
        <v>2721.915</v>
      </c>
      <c r="AK136" s="30">
        <f>'Report Inputs'!$F$2</f>
        <v>55.9</v>
      </c>
      <c r="AL136" s="28">
        <f>'Report Inputs'!$E$2</f>
        <v>1080</v>
      </c>
      <c r="AM136" s="28">
        <f t="shared" si="56"/>
        <v>60.448999999999998</v>
      </c>
      <c r="AN136" s="26" t="s">
        <v>744</v>
      </c>
      <c r="AS136" s="26" t="s">
        <v>76</v>
      </c>
      <c r="AT136" s="26" t="s">
        <v>77</v>
      </c>
      <c r="AU136" s="26" t="s">
        <v>78</v>
      </c>
      <c r="AV136" s="31">
        <f t="shared" ca="1" si="59"/>
        <v>42376.365370833337</v>
      </c>
    </row>
    <row r="137" spans="1:48">
      <c r="A137" s="26">
        <v>7</v>
      </c>
      <c r="B137" s="26">
        <f>MONTH('Report Inputs'!$B$2)</f>
        <v>11</v>
      </c>
      <c r="C137" s="26">
        <f>YEAR('Report Inputs'!$B$2)</f>
        <v>2015</v>
      </c>
      <c r="D137" s="26">
        <v>66571</v>
      </c>
      <c r="F137" s="26" t="s">
        <v>65</v>
      </c>
      <c r="G137" s="26" t="s">
        <v>66</v>
      </c>
      <c r="H137" s="26" t="s">
        <v>67</v>
      </c>
      <c r="I137" s="26" t="s">
        <v>68</v>
      </c>
      <c r="J137" s="26" t="s">
        <v>69</v>
      </c>
      <c r="K137" s="26">
        <v>713</v>
      </c>
      <c r="L137" s="26" t="s">
        <v>70</v>
      </c>
      <c r="M137" s="26">
        <v>713</v>
      </c>
      <c r="N137" s="26" t="s">
        <v>71</v>
      </c>
      <c r="O137" s="26" t="s">
        <v>72</v>
      </c>
      <c r="P137" s="26">
        <v>45</v>
      </c>
      <c r="Q137" s="27">
        <v>13997</v>
      </c>
      <c r="R137" s="26">
        <v>0</v>
      </c>
      <c r="S137" s="26" t="s">
        <v>276</v>
      </c>
      <c r="T137" s="26" t="s">
        <v>83</v>
      </c>
      <c r="U137" s="26" t="str">
        <f t="shared" si="62"/>
        <v>PR</v>
      </c>
      <c r="V137" s="26">
        <f t="shared" si="61"/>
        <v>30</v>
      </c>
      <c r="W137" s="26" t="s">
        <v>94</v>
      </c>
      <c r="X137" s="26">
        <v>16</v>
      </c>
      <c r="Y137" s="26" t="s">
        <v>74</v>
      </c>
      <c r="Z137" s="26" t="s">
        <v>75</v>
      </c>
      <c r="AA137" s="28">
        <f t="shared" si="53"/>
        <v>0.33700000000000002</v>
      </c>
      <c r="AB137" s="28">
        <f t="shared" si="54"/>
        <v>12.509</v>
      </c>
      <c r="AC137" s="28">
        <f t="shared" si="57"/>
        <v>12.318</v>
      </c>
      <c r="AD137" s="28">
        <f t="shared" si="58"/>
        <v>0</v>
      </c>
      <c r="AE137" s="28">
        <f t="shared" si="55"/>
        <v>0.52800000000000002</v>
      </c>
      <c r="AF137" s="28">
        <f t="shared" si="45"/>
        <v>1771.61</v>
      </c>
      <c r="AG137" s="28">
        <v>3</v>
      </c>
      <c r="AH137" s="28">
        <f t="shared" si="47"/>
        <v>211.87799999999999</v>
      </c>
      <c r="AI137" s="28">
        <f t="shared" si="60"/>
        <v>0</v>
      </c>
      <c r="AJ137" s="28">
        <f t="shared" si="51"/>
        <v>1557.252</v>
      </c>
      <c r="AK137" s="30">
        <f>'Report Inputs'!$F$2</f>
        <v>55.9</v>
      </c>
      <c r="AL137" s="28">
        <f>'Report Inputs'!$E$2</f>
        <v>1080</v>
      </c>
      <c r="AM137" s="28">
        <f t="shared" si="56"/>
        <v>34.585000000000001</v>
      </c>
      <c r="AN137" s="26" t="s">
        <v>744</v>
      </c>
      <c r="AS137" s="26" t="s">
        <v>76</v>
      </c>
      <c r="AT137" s="26" t="s">
        <v>77</v>
      </c>
      <c r="AU137" s="26" t="s">
        <v>78</v>
      </c>
      <c r="AV137" s="31">
        <f t="shared" ca="1" si="59"/>
        <v>42376.365370833337</v>
      </c>
    </row>
    <row r="138" spans="1:48">
      <c r="A138" s="26">
        <v>7</v>
      </c>
      <c r="B138" s="26">
        <f>MONTH('Report Inputs'!$B$2)</f>
        <v>11</v>
      </c>
      <c r="C138" s="26">
        <f>YEAR('Report Inputs'!$B$2)</f>
        <v>2015</v>
      </c>
      <c r="D138" s="26">
        <v>66571</v>
      </c>
      <c r="F138" s="26" t="s">
        <v>65</v>
      </c>
      <c r="G138" s="26" t="s">
        <v>66</v>
      </c>
      <c r="H138" s="26" t="s">
        <v>67</v>
      </c>
      <c r="I138" s="26" t="s">
        <v>68</v>
      </c>
      <c r="J138" s="26" t="s">
        <v>69</v>
      </c>
      <c r="K138" s="26">
        <v>713</v>
      </c>
      <c r="L138" s="26" t="s">
        <v>70</v>
      </c>
      <c r="M138" s="26">
        <v>713</v>
      </c>
      <c r="N138" s="26" t="s">
        <v>71</v>
      </c>
      <c r="O138" s="26" t="s">
        <v>72</v>
      </c>
      <c r="P138" s="26">
        <v>45</v>
      </c>
      <c r="Q138" s="27">
        <v>14100</v>
      </c>
      <c r="R138" s="26">
        <v>0</v>
      </c>
      <c r="S138" s="26" t="s">
        <v>251</v>
      </c>
      <c r="T138" s="26" t="s">
        <v>80</v>
      </c>
      <c r="U138" s="26" t="str">
        <f t="shared" si="62"/>
        <v>PR</v>
      </c>
      <c r="V138" s="26">
        <f t="shared" si="61"/>
        <v>30</v>
      </c>
      <c r="W138" s="26" t="s">
        <v>115</v>
      </c>
      <c r="X138" s="26">
        <v>27</v>
      </c>
      <c r="Y138" s="26" t="s">
        <v>194</v>
      </c>
      <c r="Z138" s="26" t="s">
        <v>75</v>
      </c>
      <c r="AA138" s="28">
        <f t="shared" si="53"/>
        <v>18.431000000000001</v>
      </c>
      <c r="AB138" s="28">
        <f t="shared" si="54"/>
        <v>11.137</v>
      </c>
      <c r="AC138" s="28">
        <f t="shared" si="57"/>
        <v>11.048999999999999</v>
      </c>
      <c r="AD138" s="28">
        <f t="shared" si="58"/>
        <v>1</v>
      </c>
      <c r="AE138" s="28">
        <f t="shared" si="55"/>
        <v>18.518999999999998</v>
      </c>
      <c r="AF138" s="28">
        <f t="shared" si="45"/>
        <v>3469.4</v>
      </c>
      <c r="AG138" s="28">
        <f t="shared" si="46"/>
        <v>2.15</v>
      </c>
      <c r="AH138" s="28">
        <f t="shared" si="47"/>
        <v>420.85599999999999</v>
      </c>
      <c r="AI138" s="28">
        <f t="shared" si="60"/>
        <v>0</v>
      </c>
      <c r="AJ138" s="28">
        <f t="shared" si="51"/>
        <v>3046.3939999999998</v>
      </c>
      <c r="AK138" s="30">
        <f>'Report Inputs'!$F$2</f>
        <v>55.9</v>
      </c>
      <c r="AL138" s="28">
        <f>'Report Inputs'!$E$2</f>
        <v>1080</v>
      </c>
      <c r="AM138" s="28">
        <f t="shared" si="56"/>
        <v>2.5680000000000001</v>
      </c>
      <c r="AN138" s="26" t="s">
        <v>744</v>
      </c>
      <c r="AS138" s="26" t="s">
        <v>76</v>
      </c>
      <c r="AT138" s="26" t="s">
        <v>77</v>
      </c>
      <c r="AU138" s="26" t="s">
        <v>78</v>
      </c>
      <c r="AV138" s="31">
        <f t="shared" ca="1" si="59"/>
        <v>42376.365370833337</v>
      </c>
    </row>
    <row r="139" spans="1:48">
      <c r="A139" s="26">
        <v>7</v>
      </c>
      <c r="B139" s="26">
        <f>MONTH('Report Inputs'!$B$2)</f>
        <v>11</v>
      </c>
      <c r="C139" s="26">
        <f>YEAR('Report Inputs'!$B$2)</f>
        <v>2015</v>
      </c>
      <c r="D139" s="26">
        <v>66571</v>
      </c>
      <c r="F139" s="26" t="s">
        <v>65</v>
      </c>
      <c r="G139" s="26" t="s">
        <v>66</v>
      </c>
      <c r="H139" s="26" t="s">
        <v>67</v>
      </c>
      <c r="I139" s="26" t="s">
        <v>68</v>
      </c>
      <c r="J139" s="26" t="s">
        <v>69</v>
      </c>
      <c r="K139" s="26">
        <v>713</v>
      </c>
      <c r="L139" s="26" t="s">
        <v>70</v>
      </c>
      <c r="M139" s="26">
        <v>713</v>
      </c>
      <c r="N139" s="26" t="s">
        <v>71</v>
      </c>
      <c r="O139" s="26" t="s">
        <v>72</v>
      </c>
      <c r="P139" s="26">
        <v>45</v>
      </c>
      <c r="Q139" s="27">
        <v>14202</v>
      </c>
      <c r="R139" s="26">
        <v>0</v>
      </c>
      <c r="S139" s="26" t="s">
        <v>663</v>
      </c>
      <c r="T139" s="26" t="s">
        <v>80</v>
      </c>
      <c r="U139" s="26" t="str">
        <f t="shared" si="62"/>
        <v>PR</v>
      </c>
      <c r="V139" s="26">
        <f t="shared" si="61"/>
        <v>30</v>
      </c>
      <c r="W139" s="26" t="s">
        <v>101</v>
      </c>
      <c r="X139" s="26">
        <v>17</v>
      </c>
      <c r="Y139" s="26" t="s">
        <v>194</v>
      </c>
      <c r="Z139" s="26" t="s">
        <v>286</v>
      </c>
      <c r="AA139" s="28">
        <f t="shared" si="53"/>
        <v>29.093</v>
      </c>
      <c r="AB139" s="28">
        <f t="shared" si="54"/>
        <v>3.177</v>
      </c>
      <c r="AC139" s="28">
        <f t="shared" si="57"/>
        <v>3.3479999999999999</v>
      </c>
      <c r="AD139" s="28">
        <f t="shared" si="58"/>
        <v>0</v>
      </c>
      <c r="AE139" s="28">
        <f t="shared" si="55"/>
        <v>28.922000000000001</v>
      </c>
      <c r="AF139" s="28">
        <f t="shared" si="45"/>
        <v>8868.5499999999993</v>
      </c>
      <c r="AG139" s="28">
        <f t="shared" si="46"/>
        <v>0</v>
      </c>
      <c r="AH139" s="28">
        <v>656</v>
      </c>
      <c r="AI139" s="28">
        <f t="shared" si="60"/>
        <v>0</v>
      </c>
      <c r="AJ139" s="28">
        <f t="shared" si="51"/>
        <v>8213.2880000000005</v>
      </c>
      <c r="AK139" s="30">
        <f>'Report Inputs'!$F$2</f>
        <v>55.9</v>
      </c>
      <c r="AL139" s="28">
        <f>'Report Inputs'!$E$2</f>
        <v>1080</v>
      </c>
      <c r="AM139" s="28">
        <f t="shared" si="56"/>
        <v>813.58299999999997</v>
      </c>
      <c r="AN139" s="26" t="s">
        <v>744</v>
      </c>
      <c r="AS139" s="26" t="s">
        <v>76</v>
      </c>
      <c r="AT139" s="26" t="s">
        <v>77</v>
      </c>
      <c r="AU139" s="26" t="s">
        <v>78</v>
      </c>
      <c r="AV139" s="31">
        <f t="shared" ca="1" si="59"/>
        <v>42376.365370833337</v>
      </c>
    </row>
    <row r="140" spans="1:48" s="32" customFormat="1">
      <c r="A140" s="32">
        <v>7</v>
      </c>
      <c r="B140" s="32">
        <f>MONTH('Report Inputs'!$B$2)</f>
        <v>11</v>
      </c>
      <c r="C140" s="32">
        <f>YEAR('Report Inputs'!$B$2)</f>
        <v>2015</v>
      </c>
      <c r="D140" s="32">
        <v>66571</v>
      </c>
      <c r="F140" s="32" t="s">
        <v>65</v>
      </c>
      <c r="G140" s="32" t="s">
        <v>66</v>
      </c>
      <c r="H140" s="32" t="s">
        <v>67</v>
      </c>
      <c r="I140" s="32" t="s">
        <v>68</v>
      </c>
      <c r="J140" s="32" t="s">
        <v>69</v>
      </c>
      <c r="K140" s="32">
        <v>713</v>
      </c>
      <c r="L140" s="32" t="s">
        <v>70</v>
      </c>
      <c r="M140" s="32">
        <v>713</v>
      </c>
      <c r="N140" s="32" t="s">
        <v>71</v>
      </c>
      <c r="O140" s="32" t="s">
        <v>72</v>
      </c>
      <c r="P140" s="32">
        <v>45</v>
      </c>
      <c r="Q140" s="33">
        <v>14203</v>
      </c>
      <c r="R140" s="32">
        <v>0</v>
      </c>
      <c r="S140" s="32" t="s">
        <v>924</v>
      </c>
      <c r="T140" s="32" t="s">
        <v>681</v>
      </c>
      <c r="U140" s="32" t="str">
        <f t="shared" si="62"/>
        <v>PR</v>
      </c>
      <c r="V140" s="32">
        <f t="shared" ref="V140:V192" si="63">IF(ISNA(VLOOKUP($Q140,data,4,FALSE)),0,VLOOKUP($Q140,data,4,FALSE))</f>
        <v>24</v>
      </c>
      <c r="W140" s="32" t="s">
        <v>115</v>
      </c>
      <c r="X140" s="32">
        <v>19</v>
      </c>
      <c r="Y140" s="32" t="s">
        <v>194</v>
      </c>
      <c r="Z140" s="32" t="s">
        <v>286</v>
      </c>
      <c r="AA140" s="29">
        <f>IF(ISNA(VLOOKUP($Q140,data,5,FALSE)),0,VLOOKUP($Q140,data,5,FALSE))*0.33</f>
        <v>2.9498700000000002</v>
      </c>
      <c r="AB140" s="29">
        <f>IF(ISNA(VLOOKUP($Q140,data,7,FALSE)),0,VLOOKUP($Q140,data,7,FALSE))*0.33</f>
        <v>4.5870000000000008E-2</v>
      </c>
      <c r="AC140" s="29">
        <f>IF(ISNA(VLOOKUP($Q140,data,6,FALSE)),0,VLOOKUP($Q140,data,6,FALSE))*0.33</f>
        <v>7.1940000000000004E-2</v>
      </c>
      <c r="AD140" s="29">
        <f t="shared" si="58"/>
        <v>0</v>
      </c>
      <c r="AE140" s="29">
        <f>IF(ISNA(VLOOKUP($Q140,data,13,FALSE)),0,VLOOKUP($Q140,data,13,FALSE))*0.33</f>
        <v>2.9238</v>
      </c>
      <c r="AF140" s="29">
        <f>IF(ISNA(VLOOKUP($Q140,data,9,FALSE)),0,VLOOKUP($Q140,data,9,FALSE))*0.33</f>
        <v>486.56850000000003</v>
      </c>
      <c r="AG140" s="29">
        <f>IF(ISNA(VLOOKUP($Q140,data,10,FALSE)),0,VLOOKUP($Q140,data,10,FALSE))*0.33</f>
        <v>0</v>
      </c>
      <c r="AH140" s="29">
        <v>111</v>
      </c>
      <c r="AI140" s="29">
        <f t="shared" si="60"/>
        <v>0</v>
      </c>
      <c r="AJ140" s="29">
        <f>IF(ISNA(VLOOKUP($Q140,data,8,FALSE)),0,VLOOKUP($Q140,data,8,FALSE))*0.33</f>
        <v>376.22574000000003</v>
      </c>
      <c r="AK140" s="34"/>
      <c r="AL140" s="29">
        <f>'Report Inputs'!$E$2</f>
        <v>1080</v>
      </c>
      <c r="AM140" s="29">
        <f>IF(ISNA(VLOOKUP($Q140,data,14,FALSE)),0,VLOOKUP($Q140,data,14,FALSE))*0.33</f>
        <v>71.500110000000006</v>
      </c>
      <c r="AN140" s="32" t="s">
        <v>744</v>
      </c>
      <c r="AS140" s="32" t="s">
        <v>76</v>
      </c>
      <c r="AT140" s="32" t="s">
        <v>77</v>
      </c>
      <c r="AU140" s="32" t="s">
        <v>78</v>
      </c>
      <c r="AV140" s="35">
        <f t="shared" ca="1" si="59"/>
        <v>42376.365370833337</v>
      </c>
    </row>
    <row r="141" spans="1:48" s="32" customFormat="1">
      <c r="A141" s="32">
        <v>7</v>
      </c>
      <c r="B141" s="32">
        <f>MONTH('Report Inputs'!$B$2)</f>
        <v>11</v>
      </c>
      <c r="C141" s="32">
        <f>YEAR('Report Inputs'!$B$2)</f>
        <v>2015</v>
      </c>
      <c r="D141" s="32">
        <v>66571</v>
      </c>
      <c r="F141" s="32" t="s">
        <v>65</v>
      </c>
      <c r="G141" s="32" t="s">
        <v>66</v>
      </c>
      <c r="H141" s="32" t="s">
        <v>67</v>
      </c>
      <c r="I141" s="32" t="s">
        <v>68</v>
      </c>
      <c r="J141" s="32" t="s">
        <v>69</v>
      </c>
      <c r="K141" s="32">
        <v>713</v>
      </c>
      <c r="L141" s="32" t="s">
        <v>70</v>
      </c>
      <c r="M141" s="32">
        <v>713</v>
      </c>
      <c r="N141" s="32" t="s">
        <v>71</v>
      </c>
      <c r="O141" s="32" t="s">
        <v>72</v>
      </c>
      <c r="P141" s="32">
        <v>45</v>
      </c>
      <c r="Q141" s="33">
        <v>14203</v>
      </c>
      <c r="R141" s="32">
        <v>0</v>
      </c>
      <c r="S141" s="32" t="s">
        <v>924</v>
      </c>
      <c r="T141" s="32" t="s">
        <v>703</v>
      </c>
      <c r="U141" s="32" t="str">
        <f t="shared" si="62"/>
        <v>PR</v>
      </c>
      <c r="V141" s="32">
        <f t="shared" si="63"/>
        <v>24</v>
      </c>
      <c r="W141" s="32" t="s">
        <v>115</v>
      </c>
      <c r="X141" s="32">
        <v>19</v>
      </c>
      <c r="Y141" s="32" t="s">
        <v>194</v>
      </c>
      <c r="Z141" s="32" t="s">
        <v>286</v>
      </c>
      <c r="AA141" s="29">
        <f>IF(ISNA(VLOOKUP($Q141,data,5,FALSE)),0,VLOOKUP($Q141,data,5,FALSE))*0.33</f>
        <v>2.9498700000000002</v>
      </c>
      <c r="AB141" s="29">
        <f>IF(ISNA(VLOOKUP($Q141,data,7,FALSE)),0,VLOOKUP($Q141,data,7,FALSE))*0.33</f>
        <v>4.5870000000000008E-2</v>
      </c>
      <c r="AC141" s="29">
        <f>IF(ISNA(VLOOKUP($Q141,data,6,FALSE)),0,VLOOKUP($Q141,data,6,FALSE))*0.33</f>
        <v>7.1940000000000004E-2</v>
      </c>
      <c r="AD141" s="29">
        <f t="shared" si="58"/>
        <v>0</v>
      </c>
      <c r="AE141" s="29">
        <f>IF(ISNA(VLOOKUP($Q141,data,13,FALSE)),0,VLOOKUP($Q141,data,13,FALSE))*0.33</f>
        <v>2.9238</v>
      </c>
      <c r="AF141" s="29">
        <f>IF(ISNA(VLOOKUP($Q141,data,9,FALSE)),0,VLOOKUP($Q141,data,9,FALSE))*0.33</f>
        <v>486.56850000000003</v>
      </c>
      <c r="AG141" s="29">
        <f>IF(ISNA(VLOOKUP($Q141,data,10,FALSE)),0,VLOOKUP($Q141,data,10,FALSE))*0.33</f>
        <v>0</v>
      </c>
      <c r="AH141" s="29">
        <v>111</v>
      </c>
      <c r="AI141" s="29">
        <f t="shared" si="60"/>
        <v>0</v>
      </c>
      <c r="AJ141" s="29">
        <f>IF(ISNA(VLOOKUP($Q141,data,8,FALSE)),0,VLOOKUP($Q141,data,8,FALSE))*0.33</f>
        <v>376.22574000000003</v>
      </c>
      <c r="AK141" s="34"/>
      <c r="AL141" s="29">
        <f>'Report Inputs'!$E$2</f>
        <v>1080</v>
      </c>
      <c r="AM141" s="29">
        <f>IF(ISNA(VLOOKUP($Q141,data,14,FALSE)),0,VLOOKUP($Q141,data,14,FALSE))*0.33</f>
        <v>71.500110000000006</v>
      </c>
      <c r="AN141" s="32" t="s">
        <v>744</v>
      </c>
      <c r="AS141" s="32" t="s">
        <v>76</v>
      </c>
      <c r="AT141" s="32" t="s">
        <v>77</v>
      </c>
      <c r="AU141" s="32" t="s">
        <v>78</v>
      </c>
      <c r="AV141" s="35">
        <f t="shared" ca="1" si="59"/>
        <v>42376.365370833337</v>
      </c>
    </row>
    <row r="142" spans="1:48" s="32" customFormat="1">
      <c r="A142" s="32">
        <v>7</v>
      </c>
      <c r="B142" s="32">
        <f>MONTH('Report Inputs'!$B$2)</f>
        <v>11</v>
      </c>
      <c r="C142" s="32">
        <f>YEAR('Report Inputs'!$B$2)</f>
        <v>2015</v>
      </c>
      <c r="D142" s="32">
        <v>66571</v>
      </c>
      <c r="F142" s="32" t="s">
        <v>65</v>
      </c>
      <c r="G142" s="32" t="s">
        <v>66</v>
      </c>
      <c r="H142" s="32" t="s">
        <v>67</v>
      </c>
      <c r="I142" s="32" t="s">
        <v>68</v>
      </c>
      <c r="J142" s="32" t="s">
        <v>69</v>
      </c>
      <c r="K142" s="32">
        <v>713</v>
      </c>
      <c r="L142" s="32" t="s">
        <v>70</v>
      </c>
      <c r="M142" s="32">
        <v>713</v>
      </c>
      <c r="N142" s="32" t="s">
        <v>71</v>
      </c>
      <c r="O142" s="32" t="s">
        <v>72</v>
      </c>
      <c r="P142" s="32">
        <v>45</v>
      </c>
      <c r="Q142" s="33">
        <v>14203</v>
      </c>
      <c r="R142" s="32">
        <v>0</v>
      </c>
      <c r="S142" s="32" t="s">
        <v>925</v>
      </c>
      <c r="T142" s="32" t="s">
        <v>694</v>
      </c>
      <c r="U142" s="32" t="str">
        <f t="shared" si="62"/>
        <v>PR</v>
      </c>
      <c r="V142" s="32">
        <f t="shared" si="63"/>
        <v>24</v>
      </c>
      <c r="W142" s="32" t="s">
        <v>115</v>
      </c>
      <c r="X142" s="32">
        <v>19</v>
      </c>
      <c r="Y142" s="32" t="s">
        <v>194</v>
      </c>
      <c r="Z142" s="32" t="s">
        <v>286</v>
      </c>
      <c r="AA142" s="29">
        <f>IF(ISNA(VLOOKUP($Q142,data,5,FALSE)),0,VLOOKUP($Q142,data,5,FALSE))*0.34</f>
        <v>3.0392600000000001</v>
      </c>
      <c r="AB142" s="29">
        <f>IF(ISNA(VLOOKUP($Q142,data,7,FALSE)),0,VLOOKUP($Q142,data,7,FALSE))*0.34</f>
        <v>4.726000000000001E-2</v>
      </c>
      <c r="AC142" s="29">
        <f>IF(ISNA(VLOOKUP($Q142,data,6,FALSE)),0,VLOOKUP($Q142,data,6,FALSE))*0.34</f>
        <v>7.4120000000000005E-2</v>
      </c>
      <c r="AD142" s="29">
        <f t="shared" si="58"/>
        <v>0</v>
      </c>
      <c r="AE142" s="29">
        <f>IF(ISNA(VLOOKUP($Q142,data,13,FALSE)),0,VLOOKUP($Q142,data,13,FALSE))*0.34</f>
        <v>3.0124</v>
      </c>
      <c r="AF142" s="29">
        <f>IF(ISNA(VLOOKUP($Q142,data,9,FALSE)),0,VLOOKUP($Q142,data,9,FALSE))*0.34</f>
        <v>501.31300000000005</v>
      </c>
      <c r="AG142" s="29">
        <f>IF(ISNA(VLOOKUP($Q142,data,10,FALSE)),0,VLOOKUP($Q142,data,10,FALSE))*0.34</f>
        <v>0</v>
      </c>
      <c r="AH142" s="29">
        <v>113</v>
      </c>
      <c r="AI142" s="29">
        <f t="shared" si="60"/>
        <v>0</v>
      </c>
      <c r="AJ142" s="29">
        <f>IF(ISNA(VLOOKUP($Q142,data,8,FALSE)),0,VLOOKUP($Q142,data,8,FALSE))*0.34</f>
        <v>387.62652000000003</v>
      </c>
      <c r="AK142" s="34"/>
      <c r="AL142" s="29">
        <f>'Report Inputs'!$E$2</f>
        <v>1080</v>
      </c>
      <c r="AM142" s="29">
        <f>IF(ISNA(VLOOKUP($Q142,data,14,FALSE)),0,VLOOKUP($Q142,data,14,FALSE))*0.34</f>
        <v>73.666780000000003</v>
      </c>
      <c r="AN142" s="32" t="s">
        <v>744</v>
      </c>
      <c r="AS142" s="32" t="s">
        <v>76</v>
      </c>
      <c r="AT142" s="32" t="s">
        <v>77</v>
      </c>
      <c r="AU142" s="32" t="s">
        <v>78</v>
      </c>
      <c r="AV142" s="35">
        <f t="shared" ca="1" si="59"/>
        <v>42376.365370833337</v>
      </c>
    </row>
    <row r="143" spans="1:48">
      <c r="A143" s="26">
        <v>7</v>
      </c>
      <c r="B143" s="26">
        <f>MONTH('Report Inputs'!$B$2)</f>
        <v>11</v>
      </c>
      <c r="C143" s="26">
        <f>YEAR('Report Inputs'!$B$2)</f>
        <v>2015</v>
      </c>
      <c r="D143" s="26">
        <v>66571</v>
      </c>
      <c r="F143" s="26" t="s">
        <v>65</v>
      </c>
      <c r="G143" s="26" t="s">
        <v>66</v>
      </c>
      <c r="H143" s="26" t="s">
        <v>67</v>
      </c>
      <c r="I143" s="26" t="s">
        <v>68</v>
      </c>
      <c r="J143" s="26" t="s">
        <v>69</v>
      </c>
      <c r="K143" s="26">
        <v>713</v>
      </c>
      <c r="L143" s="26" t="s">
        <v>70</v>
      </c>
      <c r="M143" s="26">
        <v>713</v>
      </c>
      <c r="N143" s="26" t="s">
        <v>71</v>
      </c>
      <c r="O143" s="26" t="s">
        <v>72</v>
      </c>
      <c r="P143" s="26">
        <v>45</v>
      </c>
      <c r="Q143" s="27">
        <v>14298</v>
      </c>
      <c r="R143" s="26">
        <v>0</v>
      </c>
      <c r="S143" s="26" t="s">
        <v>274</v>
      </c>
      <c r="T143" s="26" t="s">
        <v>83</v>
      </c>
      <c r="U143" s="26" t="str">
        <f t="shared" si="62"/>
        <v>PR</v>
      </c>
      <c r="V143" s="26">
        <f t="shared" si="63"/>
        <v>30</v>
      </c>
      <c r="W143" s="26" t="s">
        <v>107</v>
      </c>
      <c r="X143" s="26">
        <v>9</v>
      </c>
      <c r="Y143" s="26" t="s">
        <v>74</v>
      </c>
      <c r="Z143" s="26" t="s">
        <v>75</v>
      </c>
      <c r="AA143" s="28">
        <f t="shared" ref="AA143:AA153" si="64">IF(ISNA(VLOOKUP($Q143,data,5,FALSE)),0,VLOOKUP($Q143,data,5,FALSE))</f>
        <v>2.5999999999999999E-2</v>
      </c>
      <c r="AB143" s="28">
        <f t="shared" ref="AB143:AB153" si="65">IF(ISNA(VLOOKUP($Q143,data,7,FALSE)),0,VLOOKUP($Q143,data,7,FALSE))</f>
        <v>1.167</v>
      </c>
      <c r="AC143" s="28">
        <f t="shared" ref="AC143:AC153" si="66">IF(ISNA(VLOOKUP($Q143,data,6,FALSE)),0,VLOOKUP($Q143,data,6,FALSE))</f>
        <v>1.139</v>
      </c>
      <c r="AD143" s="28">
        <f t="shared" si="58"/>
        <v>0</v>
      </c>
      <c r="AE143" s="28">
        <f t="shared" ref="AE143:AE153" si="67">IF(ISNA(VLOOKUP($Q143,data,13,FALSE)),0,VLOOKUP($Q143,data,13,FALSE))</f>
        <v>5.3999999999999999E-2</v>
      </c>
      <c r="AF143" s="28">
        <f t="shared" ref="AF143:AF199" si="68">IF(ISNA(VLOOKUP($Q143,data,9,FALSE)),0,VLOOKUP($Q143,data,9,FALSE))</f>
        <v>482.6</v>
      </c>
      <c r="AG143" s="28">
        <f t="shared" ref="AG143:AG199" si="69">IF(ISNA(VLOOKUP($Q143,data,10,FALSE)),0,VLOOKUP($Q143,data,10,FALSE))</f>
        <v>0.23</v>
      </c>
      <c r="AH143" s="28">
        <f t="shared" ref="AH143:AH199" si="70">IF(ISNA(VLOOKUP($Q143,data,11,FALSE)),0,VLOOKUP($Q143,data,11,FALSE))</f>
        <v>223.80099999999999</v>
      </c>
      <c r="AI143" s="28">
        <f t="shared" si="60"/>
        <v>0</v>
      </c>
      <c r="AJ143" s="28">
        <f t="shared" ref="AJ143:AJ199" si="71">IF(ISNA(VLOOKUP($Q143,data,8,FALSE)),0,VLOOKUP($Q143,data,8,FALSE))</f>
        <v>258.56900000000002</v>
      </c>
      <c r="AK143" s="30">
        <f>'Report Inputs'!$F$2</f>
        <v>55.9</v>
      </c>
      <c r="AL143" s="28">
        <f>'Report Inputs'!$E$2</f>
        <v>1080</v>
      </c>
      <c r="AM143" s="28">
        <f t="shared" ref="AM143:AM174" si="72">IF(ISNA(VLOOKUP($Q143,data,14,FALSE)),0,VLOOKUP($Q143,data,14,FALSE))</f>
        <v>6.9539999999999997</v>
      </c>
      <c r="AN143" s="26" t="s">
        <v>744</v>
      </c>
      <c r="AS143" s="26" t="s">
        <v>76</v>
      </c>
      <c r="AT143" s="26" t="s">
        <v>77</v>
      </c>
      <c r="AU143" s="26" t="s">
        <v>78</v>
      </c>
      <c r="AV143" s="31">
        <f t="shared" ca="1" si="59"/>
        <v>42376.365370833337</v>
      </c>
    </row>
    <row r="144" spans="1:48">
      <c r="A144" s="26">
        <v>7</v>
      </c>
      <c r="B144" s="26">
        <f>MONTH('Report Inputs'!$B$2)</f>
        <v>11</v>
      </c>
      <c r="C144" s="26">
        <f>YEAR('Report Inputs'!$B$2)</f>
        <v>2015</v>
      </c>
      <c r="D144" s="26">
        <v>66571</v>
      </c>
      <c r="F144" s="26" t="s">
        <v>65</v>
      </c>
      <c r="G144" s="26" t="s">
        <v>66</v>
      </c>
      <c r="H144" s="26" t="s">
        <v>67</v>
      </c>
      <c r="I144" s="26" t="s">
        <v>68</v>
      </c>
      <c r="J144" s="26" t="s">
        <v>69</v>
      </c>
      <c r="K144" s="26">
        <v>713</v>
      </c>
      <c r="L144" s="26" t="s">
        <v>70</v>
      </c>
      <c r="M144" s="26">
        <v>713</v>
      </c>
      <c r="N144" s="26" t="s">
        <v>71</v>
      </c>
      <c r="O144" s="26" t="s">
        <v>72</v>
      </c>
      <c r="P144" s="26">
        <v>45</v>
      </c>
      <c r="Q144" s="27">
        <v>14445</v>
      </c>
      <c r="R144" s="26">
        <v>0</v>
      </c>
      <c r="S144" s="26" t="s">
        <v>273</v>
      </c>
      <c r="T144" s="26" t="s">
        <v>80</v>
      </c>
      <c r="U144" s="26" t="str">
        <f t="shared" si="62"/>
        <v>PR</v>
      </c>
      <c r="V144" s="26">
        <f t="shared" si="63"/>
        <v>30</v>
      </c>
      <c r="W144" s="26" t="s">
        <v>107</v>
      </c>
      <c r="X144" s="26">
        <v>9</v>
      </c>
      <c r="Y144" s="26" t="s">
        <v>74</v>
      </c>
      <c r="Z144" s="26" t="s">
        <v>75</v>
      </c>
      <c r="AA144" s="28">
        <f t="shared" si="64"/>
        <v>5.6000000000000001E-2</v>
      </c>
      <c r="AB144" s="28">
        <f t="shared" si="65"/>
        <v>2.125</v>
      </c>
      <c r="AC144" s="28">
        <f t="shared" si="66"/>
        <v>2.08</v>
      </c>
      <c r="AD144" s="28">
        <f t="shared" si="58"/>
        <v>0</v>
      </c>
      <c r="AE144" s="28">
        <f t="shared" si="67"/>
        <v>0.10100000000000001</v>
      </c>
      <c r="AF144" s="28">
        <f t="shared" si="68"/>
        <v>704.58</v>
      </c>
      <c r="AG144" s="28">
        <f t="shared" si="69"/>
        <v>0.41</v>
      </c>
      <c r="AH144" s="28">
        <v>234</v>
      </c>
      <c r="AI144" s="28">
        <f t="shared" si="60"/>
        <v>0</v>
      </c>
      <c r="AJ144" s="28">
        <f t="shared" si="71"/>
        <v>470.74400000000003</v>
      </c>
      <c r="AK144" s="30">
        <f>'Report Inputs'!$F$2</f>
        <v>55.9</v>
      </c>
      <c r="AL144" s="28">
        <f>'Report Inputs'!$E$2</f>
        <v>1080</v>
      </c>
      <c r="AM144" s="28">
        <f t="shared" si="72"/>
        <v>12.659000000000001</v>
      </c>
      <c r="AN144" s="26" t="s">
        <v>744</v>
      </c>
      <c r="AS144" s="26" t="s">
        <v>76</v>
      </c>
      <c r="AT144" s="26" t="s">
        <v>77</v>
      </c>
      <c r="AU144" s="26" t="s">
        <v>78</v>
      </c>
      <c r="AV144" s="31">
        <f t="shared" ca="1" si="59"/>
        <v>42376.365370833337</v>
      </c>
    </row>
    <row r="145" spans="1:48">
      <c r="A145" s="26">
        <v>7</v>
      </c>
      <c r="B145" s="26">
        <f>MONTH('Report Inputs'!$B$2)</f>
        <v>11</v>
      </c>
      <c r="C145" s="26">
        <f>YEAR('Report Inputs'!$B$2)</f>
        <v>2015</v>
      </c>
      <c r="D145" s="26">
        <v>66571</v>
      </c>
      <c r="F145" s="26" t="s">
        <v>65</v>
      </c>
      <c r="G145" s="26" t="s">
        <v>66</v>
      </c>
      <c r="H145" s="26" t="s">
        <v>67</v>
      </c>
      <c r="I145" s="26" t="s">
        <v>68</v>
      </c>
      <c r="J145" s="26" t="s">
        <v>69</v>
      </c>
      <c r="K145" s="26">
        <v>713</v>
      </c>
      <c r="L145" s="26" t="s">
        <v>70</v>
      </c>
      <c r="M145" s="26">
        <v>713</v>
      </c>
      <c r="N145" s="26" t="s">
        <v>71</v>
      </c>
      <c r="O145" s="26" t="s">
        <v>72</v>
      </c>
      <c r="P145" s="26">
        <v>45</v>
      </c>
      <c r="Q145" s="27">
        <v>14709</v>
      </c>
      <c r="R145" s="26">
        <v>0</v>
      </c>
      <c r="S145" s="26" t="s">
        <v>258</v>
      </c>
      <c r="T145" s="26" t="s">
        <v>80</v>
      </c>
      <c r="U145" s="26" t="str">
        <f t="shared" si="62"/>
        <v>PR</v>
      </c>
      <c r="V145" s="26">
        <f t="shared" si="63"/>
        <v>30</v>
      </c>
      <c r="W145" s="26" t="s">
        <v>73</v>
      </c>
      <c r="X145" s="26">
        <v>17</v>
      </c>
      <c r="Y145" s="26" t="s">
        <v>74</v>
      </c>
      <c r="Z145" s="26" t="s">
        <v>75</v>
      </c>
      <c r="AA145" s="28">
        <f t="shared" si="64"/>
        <v>0.81699999999999995</v>
      </c>
      <c r="AB145" s="28">
        <f t="shared" si="65"/>
        <v>9.1340000000000003</v>
      </c>
      <c r="AC145" s="28">
        <f t="shared" si="66"/>
        <v>9.4120000000000008</v>
      </c>
      <c r="AD145" s="28">
        <f t="shared" si="58"/>
        <v>0</v>
      </c>
      <c r="AE145" s="28">
        <f t="shared" si="67"/>
        <v>0.53900000000000003</v>
      </c>
      <c r="AF145" s="28">
        <f t="shared" si="68"/>
        <v>4323.4399999999996</v>
      </c>
      <c r="AG145" s="28">
        <f t="shared" si="69"/>
        <v>1.71</v>
      </c>
      <c r="AH145" s="28">
        <v>322</v>
      </c>
      <c r="AI145" s="28">
        <f t="shared" si="60"/>
        <v>0</v>
      </c>
      <c r="AJ145" s="28">
        <f t="shared" si="71"/>
        <v>3999.0740000000001</v>
      </c>
      <c r="AK145" s="30">
        <f>'Report Inputs'!$F$2</f>
        <v>55.9</v>
      </c>
      <c r="AL145" s="28">
        <f>'Report Inputs'!$E$2</f>
        <v>1080</v>
      </c>
      <c r="AM145" s="28">
        <f t="shared" si="72"/>
        <v>1.1839999999999999</v>
      </c>
      <c r="AN145" s="26" t="s">
        <v>744</v>
      </c>
      <c r="AS145" s="26" t="s">
        <v>76</v>
      </c>
      <c r="AT145" s="26" t="s">
        <v>77</v>
      </c>
      <c r="AU145" s="26" t="s">
        <v>78</v>
      </c>
      <c r="AV145" s="31">
        <f t="shared" ca="1" si="59"/>
        <v>42376.365370833337</v>
      </c>
    </row>
    <row r="146" spans="1:48">
      <c r="A146" s="26">
        <v>7</v>
      </c>
      <c r="B146" s="26">
        <f>MONTH('Report Inputs'!$B$2)</f>
        <v>11</v>
      </c>
      <c r="C146" s="26">
        <f>YEAR('Report Inputs'!$B$2)</f>
        <v>2015</v>
      </c>
      <c r="D146" s="26">
        <v>66571</v>
      </c>
      <c r="F146" s="26" t="s">
        <v>65</v>
      </c>
      <c r="G146" s="26" t="s">
        <v>66</v>
      </c>
      <c r="H146" s="26" t="s">
        <v>67</v>
      </c>
      <c r="I146" s="26" t="s">
        <v>68</v>
      </c>
      <c r="J146" s="26" t="s">
        <v>69</v>
      </c>
      <c r="K146" s="26">
        <v>713</v>
      </c>
      <c r="L146" s="26" t="s">
        <v>70</v>
      </c>
      <c r="M146" s="26">
        <v>713</v>
      </c>
      <c r="N146" s="26" t="s">
        <v>71</v>
      </c>
      <c r="O146" s="26" t="s">
        <v>72</v>
      </c>
      <c r="P146" s="26">
        <v>45</v>
      </c>
      <c r="Q146" s="27">
        <v>14926</v>
      </c>
      <c r="R146" s="26">
        <v>0</v>
      </c>
      <c r="S146" s="26" t="s">
        <v>281</v>
      </c>
      <c r="T146" s="26" t="s">
        <v>80</v>
      </c>
      <c r="U146" s="26" t="str">
        <f t="shared" si="62"/>
        <v>PR</v>
      </c>
      <c r="V146" s="26">
        <f t="shared" si="63"/>
        <v>30</v>
      </c>
      <c r="W146" s="26" t="s">
        <v>103</v>
      </c>
      <c r="X146" s="26">
        <v>9</v>
      </c>
      <c r="Y146" s="26" t="s">
        <v>194</v>
      </c>
      <c r="Z146" s="26" t="s">
        <v>75</v>
      </c>
      <c r="AA146" s="28">
        <f t="shared" si="64"/>
        <v>1.1519999999999999</v>
      </c>
      <c r="AB146" s="28">
        <f t="shared" si="65"/>
        <v>31.541</v>
      </c>
      <c r="AC146" s="28">
        <f t="shared" si="66"/>
        <v>31.449000000000002</v>
      </c>
      <c r="AD146" s="28">
        <f t="shared" si="58"/>
        <v>-1</v>
      </c>
      <c r="AE146" s="28">
        <f t="shared" si="67"/>
        <v>1.244</v>
      </c>
      <c r="AF146" s="28">
        <f t="shared" si="68"/>
        <v>2722.49</v>
      </c>
      <c r="AG146" s="28">
        <f t="shared" si="69"/>
        <v>6.32</v>
      </c>
      <c r="AH146" s="28">
        <f t="shared" si="70"/>
        <v>320.74299999999999</v>
      </c>
      <c r="AI146" s="28">
        <f t="shared" si="60"/>
        <v>0</v>
      </c>
      <c r="AJ146" s="28">
        <f t="shared" si="71"/>
        <v>2395.4270000000001</v>
      </c>
      <c r="AK146" s="30">
        <f>'Report Inputs'!$F$2</f>
        <v>55.9</v>
      </c>
      <c r="AL146" s="28">
        <f>'Report Inputs'!$E$2</f>
        <v>1080</v>
      </c>
      <c r="AM146" s="28">
        <f t="shared" si="72"/>
        <v>49.418999999999997</v>
      </c>
      <c r="AN146" s="26" t="s">
        <v>744</v>
      </c>
      <c r="AS146" s="26" t="s">
        <v>76</v>
      </c>
      <c r="AT146" s="26" t="s">
        <v>77</v>
      </c>
      <c r="AU146" s="26" t="s">
        <v>78</v>
      </c>
      <c r="AV146" s="31">
        <f t="shared" ca="1" si="59"/>
        <v>42376.365370833337</v>
      </c>
    </row>
    <row r="147" spans="1:48">
      <c r="A147" s="26">
        <v>7</v>
      </c>
      <c r="B147" s="26">
        <f>MONTH('Report Inputs'!$B$2)</f>
        <v>11</v>
      </c>
      <c r="C147" s="26">
        <f>YEAR('Report Inputs'!$B$2)</f>
        <v>2015</v>
      </c>
      <c r="D147" s="26">
        <v>66571</v>
      </c>
      <c r="F147" s="26" t="s">
        <v>65</v>
      </c>
      <c r="G147" s="26" t="s">
        <v>66</v>
      </c>
      <c r="H147" s="26" t="s">
        <v>67</v>
      </c>
      <c r="I147" s="26" t="s">
        <v>68</v>
      </c>
      <c r="J147" s="26" t="s">
        <v>69</v>
      </c>
      <c r="K147" s="26">
        <v>713</v>
      </c>
      <c r="L147" s="26" t="s">
        <v>70</v>
      </c>
      <c r="M147" s="26">
        <v>713</v>
      </c>
      <c r="N147" s="26" t="s">
        <v>71</v>
      </c>
      <c r="O147" s="26" t="s">
        <v>72</v>
      </c>
      <c r="P147" s="26">
        <v>45</v>
      </c>
      <c r="Q147" s="26">
        <v>15012</v>
      </c>
      <c r="R147" s="26">
        <v>0</v>
      </c>
      <c r="S147" s="26" t="s">
        <v>253</v>
      </c>
      <c r="T147" s="26" t="s">
        <v>83</v>
      </c>
      <c r="U147" s="26" t="str">
        <f t="shared" si="62"/>
        <v>PR</v>
      </c>
      <c r="V147" s="26">
        <f t="shared" si="63"/>
        <v>30</v>
      </c>
      <c r="W147" s="26" t="s">
        <v>73</v>
      </c>
      <c r="X147" s="26">
        <v>17</v>
      </c>
      <c r="Y147" s="26" t="s">
        <v>74</v>
      </c>
      <c r="Z147" s="26" t="s">
        <v>75</v>
      </c>
      <c r="AA147" s="28">
        <f t="shared" si="64"/>
        <v>1.0049999999999999</v>
      </c>
      <c r="AB147" s="28">
        <f t="shared" si="65"/>
        <v>11.289</v>
      </c>
      <c r="AC147" s="28">
        <f t="shared" si="66"/>
        <v>11.629</v>
      </c>
      <c r="AD147" s="28">
        <f t="shared" si="58"/>
        <v>1</v>
      </c>
      <c r="AE147" s="28">
        <f t="shared" si="67"/>
        <v>0.66500000000000004</v>
      </c>
      <c r="AF147" s="28">
        <f t="shared" si="68"/>
        <v>5450.89</v>
      </c>
      <c r="AG147" s="28">
        <f t="shared" si="69"/>
        <v>2.12</v>
      </c>
      <c r="AH147" s="28">
        <v>507</v>
      </c>
      <c r="AI147" s="28">
        <f t="shared" si="60"/>
        <v>0</v>
      </c>
      <c r="AJ147" s="28">
        <f t="shared" si="71"/>
        <v>4942.4750000000004</v>
      </c>
      <c r="AK147" s="30">
        <f>'Report Inputs'!$F$2</f>
        <v>55.9</v>
      </c>
      <c r="AL147" s="28">
        <f>'Report Inputs'!$E$2</f>
        <v>1080</v>
      </c>
      <c r="AM147" s="28">
        <f t="shared" si="72"/>
        <v>153.50399999999999</v>
      </c>
      <c r="AN147" s="26" t="s">
        <v>744</v>
      </c>
      <c r="AS147" s="26" t="s">
        <v>76</v>
      </c>
      <c r="AT147" s="26" t="s">
        <v>77</v>
      </c>
      <c r="AU147" s="26" t="s">
        <v>78</v>
      </c>
      <c r="AV147" s="31">
        <f t="shared" ca="1" si="59"/>
        <v>42376.365370833337</v>
      </c>
    </row>
    <row r="148" spans="1:48">
      <c r="A148" s="26">
        <v>7</v>
      </c>
      <c r="B148" s="26">
        <f>MONTH('Report Inputs'!$B$2)</f>
        <v>11</v>
      </c>
      <c r="C148" s="26">
        <f>YEAR('Report Inputs'!$B$2)</f>
        <v>2015</v>
      </c>
      <c r="D148" s="26">
        <v>66571</v>
      </c>
      <c r="F148" s="26" t="s">
        <v>65</v>
      </c>
      <c r="G148" s="26" t="s">
        <v>66</v>
      </c>
      <c r="H148" s="26" t="s">
        <v>67</v>
      </c>
      <c r="I148" s="26" t="s">
        <v>68</v>
      </c>
      <c r="J148" s="26" t="s">
        <v>69</v>
      </c>
      <c r="K148" s="26">
        <v>713</v>
      </c>
      <c r="L148" s="26" t="s">
        <v>70</v>
      </c>
      <c r="M148" s="26">
        <v>713</v>
      </c>
      <c r="N148" s="26" t="s">
        <v>71</v>
      </c>
      <c r="O148" s="26" t="s">
        <v>72</v>
      </c>
      <c r="P148" s="26">
        <v>45</v>
      </c>
      <c r="Q148" s="27">
        <v>15013</v>
      </c>
      <c r="R148" s="26">
        <v>0</v>
      </c>
      <c r="S148" s="26" t="s">
        <v>254</v>
      </c>
      <c r="T148" s="26" t="s">
        <v>83</v>
      </c>
      <c r="U148" s="26" t="str">
        <f t="shared" si="62"/>
        <v>PR</v>
      </c>
      <c r="V148" s="26">
        <f t="shared" si="63"/>
        <v>30</v>
      </c>
      <c r="W148" s="26" t="s">
        <v>73</v>
      </c>
      <c r="X148" s="26">
        <v>17</v>
      </c>
      <c r="Y148" s="26" t="s">
        <v>74</v>
      </c>
      <c r="Z148" s="26" t="s">
        <v>75</v>
      </c>
      <c r="AA148" s="28">
        <f t="shared" si="64"/>
        <v>0.68300000000000005</v>
      </c>
      <c r="AB148" s="28">
        <f t="shared" si="65"/>
        <v>7.6379999999999999</v>
      </c>
      <c r="AC148" s="28">
        <f t="shared" si="66"/>
        <v>7.8710000000000004</v>
      </c>
      <c r="AD148" s="28">
        <f t="shared" si="58"/>
        <v>-1</v>
      </c>
      <c r="AE148" s="28">
        <f t="shared" si="67"/>
        <v>0.45</v>
      </c>
      <c r="AF148" s="28">
        <f t="shared" si="68"/>
        <v>3779.1</v>
      </c>
      <c r="AG148" s="28">
        <f t="shared" si="69"/>
        <v>1.43</v>
      </c>
      <c r="AH148" s="28">
        <f t="shared" si="70"/>
        <v>433.77300000000002</v>
      </c>
      <c r="AI148" s="28">
        <f t="shared" si="60"/>
        <v>0</v>
      </c>
      <c r="AJ148" s="28">
        <f t="shared" si="71"/>
        <v>3343.8969999999999</v>
      </c>
      <c r="AK148" s="30">
        <f>'Report Inputs'!$F$2</f>
        <v>55.9</v>
      </c>
      <c r="AL148" s="28">
        <f>'Report Inputs'!$E$2</f>
        <v>1080</v>
      </c>
      <c r="AM148" s="28">
        <f t="shared" si="72"/>
        <v>103.854</v>
      </c>
      <c r="AN148" s="26" t="s">
        <v>744</v>
      </c>
      <c r="AS148" s="26" t="s">
        <v>76</v>
      </c>
      <c r="AT148" s="26" t="s">
        <v>77</v>
      </c>
      <c r="AU148" s="26" t="s">
        <v>78</v>
      </c>
      <c r="AV148" s="31">
        <f t="shared" ca="1" si="59"/>
        <v>42376.365370833337</v>
      </c>
    </row>
    <row r="149" spans="1:48">
      <c r="A149" s="26">
        <v>7</v>
      </c>
      <c r="B149" s="26">
        <f>MONTH('Report Inputs'!$B$2)</f>
        <v>11</v>
      </c>
      <c r="C149" s="26">
        <f>YEAR('Report Inputs'!$B$2)</f>
        <v>2015</v>
      </c>
      <c r="D149" s="26">
        <v>66571</v>
      </c>
      <c r="F149" s="26" t="s">
        <v>65</v>
      </c>
      <c r="G149" s="26" t="s">
        <v>66</v>
      </c>
      <c r="H149" s="26" t="s">
        <v>67</v>
      </c>
      <c r="I149" s="26" t="s">
        <v>68</v>
      </c>
      <c r="J149" s="26" t="s">
        <v>69</v>
      </c>
      <c r="K149" s="26">
        <v>713</v>
      </c>
      <c r="L149" s="26" t="s">
        <v>70</v>
      </c>
      <c r="M149" s="26">
        <v>713</v>
      </c>
      <c r="N149" s="26" t="s">
        <v>71</v>
      </c>
      <c r="O149" s="26" t="s">
        <v>72</v>
      </c>
      <c r="P149" s="26">
        <v>45</v>
      </c>
      <c r="Q149" s="27">
        <v>15014</v>
      </c>
      <c r="R149" s="26">
        <v>0</v>
      </c>
      <c r="S149" s="26" t="s">
        <v>288</v>
      </c>
      <c r="T149" s="26" t="s">
        <v>83</v>
      </c>
      <c r="U149" s="26" t="str">
        <f t="shared" si="62"/>
        <v>PR</v>
      </c>
      <c r="V149" s="26">
        <f t="shared" si="63"/>
        <v>30</v>
      </c>
      <c r="W149" s="26" t="s">
        <v>107</v>
      </c>
      <c r="X149" s="26">
        <v>16</v>
      </c>
      <c r="Y149" s="26" t="s">
        <v>74</v>
      </c>
      <c r="Z149" s="26" t="s">
        <v>75</v>
      </c>
      <c r="AA149" s="28">
        <f t="shared" si="64"/>
        <v>0.311</v>
      </c>
      <c r="AB149" s="28">
        <f t="shared" si="65"/>
        <v>4.3490000000000002</v>
      </c>
      <c r="AC149" s="28">
        <f t="shared" si="66"/>
        <v>4.3540000000000001</v>
      </c>
      <c r="AD149" s="28">
        <f t="shared" si="58"/>
        <v>0</v>
      </c>
      <c r="AE149" s="28">
        <f t="shared" si="67"/>
        <v>0.30599999999999999</v>
      </c>
      <c r="AF149" s="28">
        <f t="shared" si="68"/>
        <v>3268.35</v>
      </c>
      <c r="AG149" s="28">
        <f t="shared" si="69"/>
        <v>0.78</v>
      </c>
      <c r="AH149" s="28">
        <v>411</v>
      </c>
      <c r="AI149" s="28">
        <f t="shared" si="60"/>
        <v>0</v>
      </c>
      <c r="AJ149" s="28">
        <f t="shared" si="71"/>
        <v>2855.9349999999999</v>
      </c>
      <c r="AK149" s="30">
        <f>'Report Inputs'!$F$2</f>
        <v>55.9</v>
      </c>
      <c r="AL149" s="28">
        <f>'Report Inputs'!$E$2</f>
        <v>1080</v>
      </c>
      <c r="AM149" s="28">
        <f t="shared" si="72"/>
        <v>34.618000000000002</v>
      </c>
      <c r="AN149" s="26" t="s">
        <v>744</v>
      </c>
      <c r="AS149" s="26" t="s">
        <v>76</v>
      </c>
      <c r="AT149" s="26" t="s">
        <v>77</v>
      </c>
      <c r="AU149" s="26" t="s">
        <v>78</v>
      </c>
      <c r="AV149" s="31">
        <f t="shared" ca="1" si="59"/>
        <v>42376.365370833337</v>
      </c>
    </row>
    <row r="150" spans="1:48">
      <c r="A150" s="26">
        <v>7</v>
      </c>
      <c r="B150" s="26">
        <f>MONTH('Report Inputs'!$B$2)</f>
        <v>11</v>
      </c>
      <c r="C150" s="26">
        <f>YEAR('Report Inputs'!$B$2)</f>
        <v>2015</v>
      </c>
      <c r="D150" s="26">
        <v>66571</v>
      </c>
      <c r="F150" s="26" t="s">
        <v>65</v>
      </c>
      <c r="G150" s="26" t="s">
        <v>66</v>
      </c>
      <c r="H150" s="26" t="s">
        <v>67</v>
      </c>
      <c r="I150" s="26" t="s">
        <v>68</v>
      </c>
      <c r="J150" s="26" t="s">
        <v>69</v>
      </c>
      <c r="K150" s="26">
        <v>713</v>
      </c>
      <c r="L150" s="26" t="s">
        <v>70</v>
      </c>
      <c r="M150" s="26">
        <v>713</v>
      </c>
      <c r="N150" s="26" t="s">
        <v>71</v>
      </c>
      <c r="O150" s="26" t="s">
        <v>72</v>
      </c>
      <c r="P150" s="26">
        <v>45</v>
      </c>
      <c r="Q150" s="27">
        <v>15015</v>
      </c>
      <c r="R150" s="26">
        <v>1</v>
      </c>
      <c r="S150" s="26" t="s">
        <v>301</v>
      </c>
      <c r="T150" s="26" t="s">
        <v>80</v>
      </c>
      <c r="U150" s="26" t="str">
        <f t="shared" si="62"/>
        <v>PR</v>
      </c>
      <c r="V150" s="26">
        <f t="shared" si="63"/>
        <v>30</v>
      </c>
      <c r="W150" s="26" t="s">
        <v>107</v>
      </c>
      <c r="X150" s="26">
        <v>16</v>
      </c>
      <c r="Y150" s="26" t="s">
        <v>74</v>
      </c>
      <c r="Z150" s="26" t="s">
        <v>75</v>
      </c>
      <c r="AA150" s="28">
        <f t="shared" si="64"/>
        <v>0.46400000000000002</v>
      </c>
      <c r="AB150" s="28">
        <f t="shared" si="65"/>
        <v>6.3789999999999996</v>
      </c>
      <c r="AC150" s="28">
        <f t="shared" si="66"/>
        <v>6.3940000000000001</v>
      </c>
      <c r="AD150" s="28">
        <f t="shared" si="58"/>
        <v>0</v>
      </c>
      <c r="AE150" s="28">
        <f t="shared" si="67"/>
        <v>0.44900000000000001</v>
      </c>
      <c r="AF150" s="28">
        <f t="shared" si="68"/>
        <v>4664.22</v>
      </c>
      <c r="AG150" s="28">
        <f t="shared" si="69"/>
        <v>1.1499999999999999</v>
      </c>
      <c r="AH150" s="28">
        <f t="shared" si="70"/>
        <v>472.197</v>
      </c>
      <c r="AI150" s="28">
        <f t="shared" si="60"/>
        <v>0</v>
      </c>
      <c r="AJ150" s="28">
        <f t="shared" si="71"/>
        <v>4190.8729999999996</v>
      </c>
      <c r="AK150" s="30">
        <f>'Report Inputs'!$F$2</f>
        <v>55.9</v>
      </c>
      <c r="AL150" s="28">
        <f>'Report Inputs'!$E$2</f>
        <v>1080</v>
      </c>
      <c r="AM150" s="28">
        <f t="shared" si="72"/>
        <v>50.8</v>
      </c>
      <c r="AN150" s="26" t="s">
        <v>744</v>
      </c>
      <c r="AS150" s="26" t="s">
        <v>76</v>
      </c>
      <c r="AT150" s="26" t="s">
        <v>77</v>
      </c>
      <c r="AU150" s="26" t="s">
        <v>78</v>
      </c>
      <c r="AV150" s="31">
        <f t="shared" ca="1" si="59"/>
        <v>42376.365370833337</v>
      </c>
    </row>
    <row r="151" spans="1:48">
      <c r="A151" s="26">
        <v>7</v>
      </c>
      <c r="B151" s="26">
        <f>MONTH('Report Inputs'!$B$2)</f>
        <v>11</v>
      </c>
      <c r="C151" s="26">
        <f>YEAR('Report Inputs'!$B$2)</f>
        <v>2015</v>
      </c>
      <c r="D151" s="26">
        <v>66571</v>
      </c>
      <c r="F151" s="26" t="s">
        <v>65</v>
      </c>
      <c r="G151" s="26" t="s">
        <v>66</v>
      </c>
      <c r="H151" s="26" t="s">
        <v>67</v>
      </c>
      <c r="I151" s="26" t="s">
        <v>68</v>
      </c>
      <c r="J151" s="26" t="s">
        <v>69</v>
      </c>
      <c r="K151" s="26">
        <v>713</v>
      </c>
      <c r="L151" s="26" t="s">
        <v>70</v>
      </c>
      <c r="M151" s="26">
        <v>713</v>
      </c>
      <c r="N151" s="26" t="s">
        <v>71</v>
      </c>
      <c r="O151" s="26" t="s">
        <v>72</v>
      </c>
      <c r="P151" s="26">
        <v>45</v>
      </c>
      <c r="Q151" s="27">
        <v>15061</v>
      </c>
      <c r="R151" s="26">
        <v>0</v>
      </c>
      <c r="S151" s="26" t="s">
        <v>279</v>
      </c>
      <c r="T151" s="26" t="s">
        <v>80</v>
      </c>
      <c r="U151" s="26" t="str">
        <f t="shared" si="62"/>
        <v>PR</v>
      </c>
      <c r="V151" s="26">
        <f t="shared" si="63"/>
        <v>30</v>
      </c>
      <c r="W151" s="26" t="s">
        <v>94</v>
      </c>
      <c r="X151" s="26">
        <v>6</v>
      </c>
      <c r="Y151" s="26" t="s">
        <v>194</v>
      </c>
      <c r="Z151" s="26" t="s">
        <v>75</v>
      </c>
      <c r="AA151" s="28">
        <f t="shared" si="64"/>
        <v>0.40500000000000003</v>
      </c>
      <c r="AB151" s="28">
        <f t="shared" si="65"/>
        <v>9.5749999999999993</v>
      </c>
      <c r="AC151" s="28">
        <f t="shared" si="66"/>
        <v>9.5579999999999998</v>
      </c>
      <c r="AD151" s="28">
        <f t="shared" si="58"/>
        <v>0</v>
      </c>
      <c r="AE151" s="28">
        <f t="shared" si="67"/>
        <v>0.42199999999999999</v>
      </c>
      <c r="AF151" s="28">
        <f t="shared" si="68"/>
        <v>1877.36</v>
      </c>
      <c r="AG151" s="28">
        <f t="shared" si="69"/>
        <v>1.89</v>
      </c>
      <c r="AH151" s="28">
        <f t="shared" si="70"/>
        <v>351.221</v>
      </c>
      <c r="AI151" s="28">
        <f t="shared" si="60"/>
        <v>0</v>
      </c>
      <c r="AJ151" s="28">
        <f t="shared" si="71"/>
        <v>1524.249</v>
      </c>
      <c r="AK151" s="30">
        <f>'Report Inputs'!$F$2</f>
        <v>55.9</v>
      </c>
      <c r="AL151" s="28">
        <f>'Report Inputs'!$E$2</f>
        <v>1080</v>
      </c>
      <c r="AM151" s="28">
        <f t="shared" si="72"/>
        <v>58.728999999999999</v>
      </c>
      <c r="AN151" s="26" t="s">
        <v>744</v>
      </c>
      <c r="AS151" s="26" t="s">
        <v>76</v>
      </c>
      <c r="AT151" s="26" t="s">
        <v>77</v>
      </c>
      <c r="AU151" s="26" t="s">
        <v>78</v>
      </c>
      <c r="AV151" s="31">
        <f t="shared" ca="1" si="59"/>
        <v>42376.365370833337</v>
      </c>
    </row>
    <row r="152" spans="1:48">
      <c r="A152" s="26">
        <v>7</v>
      </c>
      <c r="B152" s="26">
        <f>MONTH('Report Inputs'!$B$2)</f>
        <v>11</v>
      </c>
      <c r="C152" s="26">
        <f>YEAR('Report Inputs'!$B$2)</f>
        <v>2015</v>
      </c>
      <c r="D152" s="26">
        <v>66571</v>
      </c>
      <c r="F152" s="26" t="s">
        <v>65</v>
      </c>
      <c r="G152" s="26" t="s">
        <v>66</v>
      </c>
      <c r="H152" s="26" t="s">
        <v>67</v>
      </c>
      <c r="I152" s="26" t="s">
        <v>68</v>
      </c>
      <c r="J152" s="26" t="s">
        <v>69</v>
      </c>
      <c r="K152" s="26">
        <v>713</v>
      </c>
      <c r="L152" s="26" t="s">
        <v>70</v>
      </c>
      <c r="M152" s="26">
        <v>713</v>
      </c>
      <c r="N152" s="26" t="s">
        <v>71</v>
      </c>
      <c r="O152" s="26" t="s">
        <v>72</v>
      </c>
      <c r="P152" s="26">
        <v>45</v>
      </c>
      <c r="Q152" s="27">
        <v>15063</v>
      </c>
      <c r="R152" s="26">
        <v>0</v>
      </c>
      <c r="S152" s="26" t="s">
        <v>280</v>
      </c>
      <c r="T152" s="26" t="s">
        <v>80</v>
      </c>
      <c r="U152" s="26" t="str">
        <f t="shared" si="62"/>
        <v>PR</v>
      </c>
      <c r="V152" s="26">
        <f t="shared" si="63"/>
        <v>29</v>
      </c>
      <c r="W152" s="26" t="s">
        <v>94</v>
      </c>
      <c r="X152" s="26">
        <v>6</v>
      </c>
      <c r="Y152" s="26" t="s">
        <v>194</v>
      </c>
      <c r="Z152" s="26" t="s">
        <v>75</v>
      </c>
      <c r="AA152" s="28">
        <f t="shared" si="64"/>
        <v>0.27700000000000002</v>
      </c>
      <c r="AB152" s="28">
        <f t="shared" si="65"/>
        <v>6.7889999999999997</v>
      </c>
      <c r="AC152" s="28">
        <f t="shared" si="66"/>
        <v>6.7679999999999998</v>
      </c>
      <c r="AD152" s="28">
        <f t="shared" si="58"/>
        <v>0</v>
      </c>
      <c r="AE152" s="28">
        <f t="shared" si="67"/>
        <v>0.29799999999999999</v>
      </c>
      <c r="AF152" s="28">
        <f t="shared" si="68"/>
        <v>1413.21</v>
      </c>
      <c r="AG152" s="28">
        <f t="shared" si="69"/>
        <v>1.34</v>
      </c>
      <c r="AH152" s="28">
        <f t="shared" si="70"/>
        <v>331.101</v>
      </c>
      <c r="AI152" s="28">
        <f t="shared" si="60"/>
        <v>0</v>
      </c>
      <c r="AJ152" s="28">
        <f t="shared" si="71"/>
        <v>1080.769</v>
      </c>
      <c r="AK152" s="30">
        <f>'Report Inputs'!$F$2</f>
        <v>55.9</v>
      </c>
      <c r="AL152" s="28">
        <f>'Report Inputs'!$E$2</f>
        <v>1080</v>
      </c>
      <c r="AM152" s="28">
        <f t="shared" si="72"/>
        <v>41.640999999999998</v>
      </c>
      <c r="AN152" s="26" t="s">
        <v>744</v>
      </c>
      <c r="AS152" s="26" t="s">
        <v>76</v>
      </c>
      <c r="AT152" s="26" t="s">
        <v>77</v>
      </c>
      <c r="AU152" s="26" t="s">
        <v>78</v>
      </c>
      <c r="AV152" s="31">
        <f t="shared" ca="1" si="59"/>
        <v>42376.365370833337</v>
      </c>
    </row>
    <row r="153" spans="1:48">
      <c r="A153" s="26">
        <v>7</v>
      </c>
      <c r="B153" s="26">
        <f>MONTH('Report Inputs'!$B$2)</f>
        <v>11</v>
      </c>
      <c r="C153" s="26">
        <f>YEAR('Report Inputs'!$B$2)</f>
        <v>2015</v>
      </c>
      <c r="D153" s="26">
        <v>66571</v>
      </c>
      <c r="F153" s="26" t="s">
        <v>65</v>
      </c>
      <c r="G153" s="26" t="s">
        <v>66</v>
      </c>
      <c r="H153" s="26" t="s">
        <v>67</v>
      </c>
      <c r="I153" s="26" t="s">
        <v>68</v>
      </c>
      <c r="J153" s="26" t="s">
        <v>69</v>
      </c>
      <c r="K153" s="26">
        <v>713</v>
      </c>
      <c r="L153" s="26" t="s">
        <v>70</v>
      </c>
      <c r="M153" s="26">
        <v>713</v>
      </c>
      <c r="N153" s="26" t="s">
        <v>71</v>
      </c>
      <c r="O153" s="26" t="s">
        <v>72</v>
      </c>
      <c r="P153" s="26">
        <v>45</v>
      </c>
      <c r="Q153" s="27">
        <v>15135</v>
      </c>
      <c r="R153" s="26">
        <v>0</v>
      </c>
      <c r="S153" s="26" t="s">
        <v>290</v>
      </c>
      <c r="T153" s="26" t="s">
        <v>80</v>
      </c>
      <c r="U153" s="26" t="str">
        <f t="shared" si="62"/>
        <v>PR</v>
      </c>
      <c r="V153" s="26">
        <f t="shared" si="63"/>
        <v>30</v>
      </c>
      <c r="W153" s="26" t="s">
        <v>107</v>
      </c>
      <c r="X153" s="26">
        <v>9</v>
      </c>
      <c r="Y153" s="26" t="s">
        <v>74</v>
      </c>
      <c r="Z153" s="26" t="s">
        <v>75</v>
      </c>
      <c r="AA153" s="28">
        <f t="shared" si="64"/>
        <v>0.54800000000000004</v>
      </c>
      <c r="AB153" s="28">
        <f t="shared" si="65"/>
        <v>20.661999999999999</v>
      </c>
      <c r="AC153" s="28">
        <f t="shared" si="66"/>
        <v>20.231000000000002</v>
      </c>
      <c r="AD153" s="28">
        <f t="shared" si="58"/>
        <v>-1</v>
      </c>
      <c r="AE153" s="28">
        <f t="shared" si="67"/>
        <v>0.97899999999999998</v>
      </c>
      <c r="AF153" s="28">
        <f t="shared" si="68"/>
        <v>5001.1000000000004</v>
      </c>
      <c r="AG153" s="28">
        <f t="shared" si="69"/>
        <v>4.03</v>
      </c>
      <c r="AH153" s="28">
        <f t="shared" si="70"/>
        <v>419.73</v>
      </c>
      <c r="AI153" s="28">
        <f t="shared" si="60"/>
        <v>0</v>
      </c>
      <c r="AJ153" s="28">
        <f t="shared" si="71"/>
        <v>4577.34</v>
      </c>
      <c r="AK153" s="30">
        <f>'Report Inputs'!$F$2</f>
        <v>55.9</v>
      </c>
      <c r="AL153" s="28">
        <f>'Report Inputs'!$E$2</f>
        <v>1080</v>
      </c>
      <c r="AM153" s="28">
        <f t="shared" si="72"/>
        <v>123.098</v>
      </c>
      <c r="AN153" s="26" t="s">
        <v>744</v>
      </c>
      <c r="AS153" s="26" t="s">
        <v>76</v>
      </c>
      <c r="AT153" s="26" t="s">
        <v>77</v>
      </c>
      <c r="AU153" s="26" t="s">
        <v>78</v>
      </c>
      <c r="AV153" s="31">
        <f t="shared" ca="1" si="59"/>
        <v>42376.365370833337</v>
      </c>
    </row>
    <row r="154" spans="1:48">
      <c r="A154" s="26">
        <v>7</v>
      </c>
      <c r="B154" s="26">
        <f>MONTH('Report Inputs'!$B$2)</f>
        <v>11</v>
      </c>
      <c r="C154" s="26">
        <f>YEAR('Report Inputs'!$B$2)</f>
        <v>2015</v>
      </c>
      <c r="D154" s="26">
        <v>66571</v>
      </c>
      <c r="F154" s="26" t="s">
        <v>65</v>
      </c>
      <c r="G154" s="26" t="s">
        <v>66</v>
      </c>
      <c r="H154" s="26" t="s">
        <v>67</v>
      </c>
      <c r="I154" s="26" t="s">
        <v>68</v>
      </c>
      <c r="J154" s="26" t="s">
        <v>69</v>
      </c>
      <c r="K154" s="26">
        <v>713</v>
      </c>
      <c r="L154" s="26" t="s">
        <v>70</v>
      </c>
      <c r="M154" s="26">
        <v>713</v>
      </c>
      <c r="N154" s="26" t="s">
        <v>71</v>
      </c>
      <c r="O154" s="26" t="s">
        <v>72</v>
      </c>
      <c r="P154" s="26">
        <v>45</v>
      </c>
      <c r="Q154" s="27">
        <v>15136</v>
      </c>
      <c r="R154" s="26">
        <v>0</v>
      </c>
      <c r="S154" s="26" t="s">
        <v>287</v>
      </c>
      <c r="T154" s="26" t="s">
        <v>80</v>
      </c>
      <c r="U154" s="26" t="str">
        <f t="shared" si="62"/>
        <v>PR</v>
      </c>
      <c r="V154" s="26">
        <f t="shared" si="63"/>
        <v>27</v>
      </c>
      <c r="W154" s="26" t="s">
        <v>107</v>
      </c>
      <c r="X154" s="26">
        <v>9</v>
      </c>
      <c r="Y154" s="26" t="s">
        <v>74</v>
      </c>
      <c r="Z154" s="26" t="s">
        <v>75</v>
      </c>
      <c r="AA154" s="28">
        <f>(IF(ISNA(VLOOKUP($Q154,data,5,FALSE)),0,VLOOKUP($Q154,data,5,FALSE)))</f>
        <v>6.0000000000000001E-3</v>
      </c>
      <c r="AB154" s="28">
        <f>(IF(ISNA(VLOOKUP($Q154,data,7,FALSE)),0,VLOOKUP($Q154,data,7,FALSE)))</f>
        <v>0.187</v>
      </c>
      <c r="AC154" s="28">
        <f>(IF(ISNA(VLOOKUP($Q154,data,6,FALSE)),0,VLOOKUP($Q154,data,6,FALSE)))</f>
        <v>0.184</v>
      </c>
      <c r="AD154" s="28">
        <f>(ROUND(AC154,0)+ROUND(AE154,0)-ROUND(AA154,0)-ROUND(AB154,0))</f>
        <v>0</v>
      </c>
      <c r="AE154" s="28">
        <f>(IF(ISNA(VLOOKUP($Q154,data,13,FALSE)),0,VLOOKUP($Q154,data,13,FALSE)))</f>
        <v>8.9999999999999993E-3</v>
      </c>
      <c r="AF154" s="28">
        <f t="shared" si="68"/>
        <v>255.31</v>
      </c>
      <c r="AG154" s="28">
        <f t="shared" si="69"/>
        <v>0.04</v>
      </c>
      <c r="AH154" s="28">
        <f t="shared" si="70"/>
        <v>213.94499999999999</v>
      </c>
      <c r="AI154" s="28">
        <f t="shared" si="60"/>
        <v>0</v>
      </c>
      <c r="AJ154" s="28">
        <f t="shared" si="71"/>
        <v>41.325000000000003</v>
      </c>
      <c r="AL154" s="28">
        <f>'Report Inputs'!$E$2</f>
        <v>1080</v>
      </c>
      <c r="AM154" s="28">
        <f t="shared" si="72"/>
        <v>1.111</v>
      </c>
      <c r="AN154" s="26" t="s">
        <v>744</v>
      </c>
      <c r="AS154" s="26" t="s">
        <v>76</v>
      </c>
      <c r="AT154" s="26" t="s">
        <v>77</v>
      </c>
      <c r="AU154" s="26" t="s">
        <v>78</v>
      </c>
      <c r="AV154" s="31">
        <f t="shared" ca="1" si="59"/>
        <v>42376.365370833337</v>
      </c>
    </row>
    <row r="155" spans="1:48">
      <c r="A155" s="26">
        <v>7</v>
      </c>
      <c r="B155" s="26">
        <f>MONTH('Report Inputs'!$B$2)</f>
        <v>11</v>
      </c>
      <c r="C155" s="26">
        <f>YEAR('Report Inputs'!$B$2)</f>
        <v>2015</v>
      </c>
      <c r="D155" s="26">
        <v>66571</v>
      </c>
      <c r="F155" s="26" t="s">
        <v>65</v>
      </c>
      <c r="G155" s="26" t="s">
        <v>66</v>
      </c>
      <c r="H155" s="26" t="s">
        <v>67</v>
      </c>
      <c r="I155" s="26" t="s">
        <v>68</v>
      </c>
      <c r="J155" s="26" t="s">
        <v>69</v>
      </c>
      <c r="K155" s="26">
        <v>713</v>
      </c>
      <c r="L155" s="26" t="s">
        <v>70</v>
      </c>
      <c r="M155" s="26">
        <v>713</v>
      </c>
      <c r="N155" s="26" t="s">
        <v>71</v>
      </c>
      <c r="O155" s="26" t="s">
        <v>72</v>
      </c>
      <c r="P155" s="26">
        <v>45</v>
      </c>
      <c r="Q155" s="27">
        <v>15226</v>
      </c>
      <c r="R155" s="26">
        <v>0</v>
      </c>
      <c r="S155" s="26" t="s">
        <v>651</v>
      </c>
      <c r="T155" s="26" t="s">
        <v>80</v>
      </c>
      <c r="U155" s="26" t="str">
        <f t="shared" si="62"/>
        <v>PR</v>
      </c>
      <c r="V155" s="26">
        <f t="shared" si="63"/>
        <v>30</v>
      </c>
      <c r="W155" s="26" t="s">
        <v>107</v>
      </c>
      <c r="X155" s="26">
        <v>16</v>
      </c>
      <c r="Y155" s="26" t="s">
        <v>74</v>
      </c>
      <c r="Z155" s="26" t="s">
        <v>75</v>
      </c>
      <c r="AA155" s="28">
        <f t="shared" ref="AA155:AA199" si="73">IF(ISNA(VLOOKUP($Q155,data,5,FALSE)),0,VLOOKUP($Q155,data,5,FALSE))</f>
        <v>0.311</v>
      </c>
      <c r="AB155" s="28">
        <f t="shared" ref="AB155:AB199" si="74">IF(ISNA(VLOOKUP($Q155,data,7,FALSE)),0,VLOOKUP($Q155,data,7,FALSE))</f>
        <v>4.4390000000000001</v>
      </c>
      <c r="AC155" s="28">
        <f t="shared" ref="AC155:AC199" si="75">IF(ISNA(VLOOKUP($Q155,data,6,FALSE)),0,VLOOKUP($Q155,data,6,FALSE))</f>
        <v>4.4379999999999997</v>
      </c>
      <c r="AD155" s="28">
        <f t="shared" ref="AD155:AD218" si="76">ROUND(AC155,0)+ROUND(AE155,0)-ROUND(AA155,0)-ROUND(AB155,0)</f>
        <v>0</v>
      </c>
      <c r="AE155" s="28">
        <f t="shared" ref="AE155:AE199" si="77">IF(ISNA(VLOOKUP($Q155,data,13,FALSE)),0,VLOOKUP($Q155,data,13,FALSE))</f>
        <v>0.312</v>
      </c>
      <c r="AF155" s="28">
        <f t="shared" si="68"/>
        <v>3330.77</v>
      </c>
      <c r="AG155" s="28">
        <f t="shared" si="69"/>
        <v>0.8</v>
      </c>
      <c r="AH155" s="28">
        <f t="shared" si="70"/>
        <v>414.34300000000002</v>
      </c>
      <c r="AI155" s="28">
        <f t="shared" si="60"/>
        <v>0</v>
      </c>
      <c r="AJ155" s="28">
        <f t="shared" si="71"/>
        <v>2915.627</v>
      </c>
      <c r="AK155" s="30">
        <f>'Report Inputs'!$F$2</f>
        <v>55.9</v>
      </c>
      <c r="AL155" s="28">
        <f>'Report Inputs'!$E$2</f>
        <v>1080</v>
      </c>
      <c r="AM155" s="28">
        <f t="shared" si="72"/>
        <v>35.341999999999999</v>
      </c>
      <c r="AN155" s="26" t="s">
        <v>744</v>
      </c>
      <c r="AS155" s="26" t="s">
        <v>76</v>
      </c>
      <c r="AT155" s="26" t="s">
        <v>77</v>
      </c>
      <c r="AU155" s="26" t="s">
        <v>78</v>
      </c>
      <c r="AV155" s="31">
        <f t="shared" ca="1" si="59"/>
        <v>42376.365370833337</v>
      </c>
    </row>
    <row r="156" spans="1:48">
      <c r="A156" s="26">
        <v>7</v>
      </c>
      <c r="B156" s="26">
        <f>MONTH('Report Inputs'!$B$2)</f>
        <v>11</v>
      </c>
      <c r="C156" s="26">
        <f>YEAR('Report Inputs'!$B$2)</f>
        <v>2015</v>
      </c>
      <c r="D156" s="26">
        <v>66571</v>
      </c>
      <c r="F156" s="26" t="s">
        <v>65</v>
      </c>
      <c r="G156" s="26" t="s">
        <v>66</v>
      </c>
      <c r="H156" s="26" t="s">
        <v>67</v>
      </c>
      <c r="I156" s="26" t="s">
        <v>68</v>
      </c>
      <c r="J156" s="26" t="s">
        <v>69</v>
      </c>
      <c r="K156" s="26">
        <v>713</v>
      </c>
      <c r="L156" s="26" t="s">
        <v>70</v>
      </c>
      <c r="M156" s="26">
        <v>713</v>
      </c>
      <c r="N156" s="26" t="s">
        <v>71</v>
      </c>
      <c r="O156" s="26" t="s">
        <v>72</v>
      </c>
      <c r="P156" s="26">
        <v>45</v>
      </c>
      <c r="Q156" s="27">
        <v>15227</v>
      </c>
      <c r="R156" s="26">
        <v>0</v>
      </c>
      <c r="S156" s="26" t="s">
        <v>646</v>
      </c>
      <c r="T156" s="26" t="s">
        <v>83</v>
      </c>
      <c r="U156" s="26" t="str">
        <f t="shared" si="62"/>
        <v>PR</v>
      </c>
      <c r="V156" s="26">
        <f t="shared" si="63"/>
        <v>30</v>
      </c>
      <c r="W156" s="26" t="s">
        <v>107</v>
      </c>
      <c r="X156" s="26">
        <v>16</v>
      </c>
      <c r="Y156" s="26" t="s">
        <v>74</v>
      </c>
      <c r="Z156" s="26" t="s">
        <v>75</v>
      </c>
      <c r="AA156" s="28">
        <f t="shared" si="73"/>
        <v>0.33600000000000002</v>
      </c>
      <c r="AB156" s="28">
        <f t="shared" si="74"/>
        <v>4.6550000000000002</v>
      </c>
      <c r="AC156" s="28">
        <f t="shared" si="75"/>
        <v>4.6630000000000003</v>
      </c>
      <c r="AD156" s="28">
        <f t="shared" si="76"/>
        <v>0</v>
      </c>
      <c r="AE156" s="28">
        <f t="shared" si="77"/>
        <v>0.32800000000000001</v>
      </c>
      <c r="AF156" s="28">
        <f t="shared" si="68"/>
        <v>3409.41</v>
      </c>
      <c r="AG156" s="28">
        <f t="shared" si="69"/>
        <v>0.84</v>
      </c>
      <c r="AH156" s="28">
        <v>350</v>
      </c>
      <c r="AI156" s="28">
        <f t="shared" si="60"/>
        <v>0</v>
      </c>
      <c r="AJ156" s="28">
        <f t="shared" si="71"/>
        <v>3057.7779999999998</v>
      </c>
      <c r="AK156" s="30">
        <f>'Report Inputs'!$F$2</f>
        <v>55.9</v>
      </c>
      <c r="AL156" s="28">
        <f>'Report Inputs'!$E$2</f>
        <v>1080</v>
      </c>
      <c r="AM156" s="28">
        <f t="shared" si="72"/>
        <v>37.064999999999998</v>
      </c>
      <c r="AN156" s="26" t="s">
        <v>744</v>
      </c>
      <c r="AS156" s="26" t="s">
        <v>76</v>
      </c>
      <c r="AT156" s="26" t="s">
        <v>77</v>
      </c>
      <c r="AU156" s="26" t="s">
        <v>78</v>
      </c>
      <c r="AV156" s="31">
        <f t="shared" ca="1" si="59"/>
        <v>42376.365370833337</v>
      </c>
    </row>
    <row r="157" spans="1:48">
      <c r="A157" s="26">
        <v>7</v>
      </c>
      <c r="B157" s="26">
        <f>MONTH('Report Inputs'!$B$2)</f>
        <v>11</v>
      </c>
      <c r="C157" s="26">
        <f>YEAR('Report Inputs'!$B$2)</f>
        <v>2015</v>
      </c>
      <c r="D157" s="26">
        <v>66571</v>
      </c>
      <c r="F157" s="26" t="s">
        <v>65</v>
      </c>
      <c r="G157" s="26" t="s">
        <v>66</v>
      </c>
      <c r="H157" s="26" t="s">
        <v>67</v>
      </c>
      <c r="I157" s="26" t="s">
        <v>68</v>
      </c>
      <c r="J157" s="26" t="s">
        <v>69</v>
      </c>
      <c r="K157" s="26">
        <v>713</v>
      </c>
      <c r="L157" s="26" t="s">
        <v>70</v>
      </c>
      <c r="M157" s="26">
        <v>713</v>
      </c>
      <c r="N157" s="26" t="s">
        <v>71</v>
      </c>
      <c r="O157" s="26" t="s">
        <v>72</v>
      </c>
      <c r="P157" s="26">
        <v>45</v>
      </c>
      <c r="Q157" s="27">
        <v>15228</v>
      </c>
      <c r="R157" s="26">
        <v>0</v>
      </c>
      <c r="S157" s="26" t="s">
        <v>299</v>
      </c>
      <c r="T157" s="26" t="s">
        <v>80</v>
      </c>
      <c r="U157" s="26" t="str">
        <f t="shared" si="62"/>
        <v>PR</v>
      </c>
      <c r="V157" s="26">
        <f t="shared" si="63"/>
        <v>30</v>
      </c>
      <c r="W157" s="26" t="s">
        <v>107</v>
      </c>
      <c r="X157" s="26">
        <v>16</v>
      </c>
      <c r="Y157" s="26" t="s">
        <v>74</v>
      </c>
      <c r="Z157" s="26" t="s">
        <v>75</v>
      </c>
      <c r="AA157" s="28">
        <f t="shared" si="73"/>
        <v>0.30499999999999999</v>
      </c>
      <c r="AB157" s="28">
        <f t="shared" si="74"/>
        <v>4.0439999999999996</v>
      </c>
      <c r="AC157" s="28">
        <f t="shared" si="75"/>
        <v>4.0620000000000003</v>
      </c>
      <c r="AD157" s="28">
        <f t="shared" si="76"/>
        <v>0</v>
      </c>
      <c r="AE157" s="28">
        <f t="shared" si="77"/>
        <v>0.28699999999999998</v>
      </c>
      <c r="AF157" s="28">
        <f t="shared" si="68"/>
        <v>2989.9</v>
      </c>
      <c r="AG157" s="28">
        <f t="shared" si="69"/>
        <v>0.73</v>
      </c>
      <c r="AH157" s="28">
        <v>332</v>
      </c>
      <c r="AI157" s="28">
        <f t="shared" si="60"/>
        <v>0</v>
      </c>
      <c r="AJ157" s="28">
        <f t="shared" si="71"/>
        <v>2656.5790000000002</v>
      </c>
      <c r="AK157" s="30">
        <f>'Report Inputs'!$F$2</f>
        <v>55.9</v>
      </c>
      <c r="AL157" s="28">
        <f>'Report Inputs'!$E$2</f>
        <v>1080</v>
      </c>
      <c r="AM157" s="28">
        <f t="shared" si="72"/>
        <v>32.201999999999998</v>
      </c>
      <c r="AN157" s="26" t="s">
        <v>744</v>
      </c>
      <c r="AS157" s="26" t="s">
        <v>76</v>
      </c>
      <c r="AT157" s="26" t="s">
        <v>77</v>
      </c>
      <c r="AU157" s="26" t="s">
        <v>78</v>
      </c>
      <c r="AV157" s="31">
        <f t="shared" ca="1" si="59"/>
        <v>42376.365370833337</v>
      </c>
    </row>
    <row r="158" spans="1:48">
      <c r="A158" s="26">
        <v>7</v>
      </c>
      <c r="B158" s="26">
        <f>MONTH('Report Inputs'!$B$2)</f>
        <v>11</v>
      </c>
      <c r="C158" s="26">
        <f>YEAR('Report Inputs'!$B$2)</f>
        <v>2015</v>
      </c>
      <c r="D158" s="26">
        <v>66571</v>
      </c>
      <c r="F158" s="26" t="s">
        <v>65</v>
      </c>
      <c r="G158" s="26" t="s">
        <v>66</v>
      </c>
      <c r="H158" s="26" t="s">
        <v>67</v>
      </c>
      <c r="I158" s="26" t="s">
        <v>68</v>
      </c>
      <c r="J158" s="26" t="s">
        <v>69</v>
      </c>
      <c r="K158" s="26">
        <v>713</v>
      </c>
      <c r="L158" s="26" t="s">
        <v>70</v>
      </c>
      <c r="M158" s="26">
        <v>713</v>
      </c>
      <c r="N158" s="26" t="s">
        <v>71</v>
      </c>
      <c r="O158" s="26" t="s">
        <v>72</v>
      </c>
      <c r="P158" s="26">
        <v>45</v>
      </c>
      <c r="Q158" s="27">
        <v>15229</v>
      </c>
      <c r="R158" s="26">
        <v>0</v>
      </c>
      <c r="S158" s="26" t="s">
        <v>645</v>
      </c>
      <c r="T158" s="26" t="s">
        <v>83</v>
      </c>
      <c r="U158" s="26" t="str">
        <f t="shared" si="62"/>
        <v>PR</v>
      </c>
      <c r="V158" s="26">
        <f t="shared" si="63"/>
        <v>30</v>
      </c>
      <c r="W158" s="26" t="s">
        <v>107</v>
      </c>
      <c r="X158" s="26">
        <v>16</v>
      </c>
      <c r="Y158" s="26" t="s">
        <v>74</v>
      </c>
      <c r="Z158" s="26" t="s">
        <v>75</v>
      </c>
      <c r="AA158" s="28">
        <f t="shared" si="73"/>
        <v>0.44</v>
      </c>
      <c r="AB158" s="28">
        <f t="shared" si="74"/>
        <v>6.1909999999999998</v>
      </c>
      <c r="AC158" s="28">
        <f t="shared" si="75"/>
        <v>6.1959999999999997</v>
      </c>
      <c r="AD158" s="28">
        <f t="shared" si="76"/>
        <v>0</v>
      </c>
      <c r="AE158" s="28">
        <f t="shared" si="77"/>
        <v>0.435</v>
      </c>
      <c r="AF158" s="28">
        <f t="shared" si="68"/>
        <v>4464.68</v>
      </c>
      <c r="AG158" s="28">
        <f t="shared" si="69"/>
        <v>1.1100000000000001</v>
      </c>
      <c r="AH158" s="28">
        <f t="shared" si="70"/>
        <v>396.577</v>
      </c>
      <c r="AI158" s="28">
        <f t="shared" si="60"/>
        <v>0</v>
      </c>
      <c r="AJ158" s="28">
        <f t="shared" si="71"/>
        <v>4066.9929999999999</v>
      </c>
      <c r="AK158" s="30">
        <f>'Report Inputs'!$F$2</f>
        <v>55.9</v>
      </c>
      <c r="AL158" s="28">
        <f>'Report Inputs'!$E$2</f>
        <v>1080</v>
      </c>
      <c r="AM158" s="28">
        <f t="shared" si="72"/>
        <v>49.298000000000002</v>
      </c>
      <c r="AN158" s="26" t="s">
        <v>744</v>
      </c>
      <c r="AS158" s="26" t="s">
        <v>76</v>
      </c>
      <c r="AT158" s="26" t="s">
        <v>77</v>
      </c>
      <c r="AU158" s="26" t="s">
        <v>78</v>
      </c>
      <c r="AV158" s="31">
        <f t="shared" ca="1" si="59"/>
        <v>42376.365370833337</v>
      </c>
    </row>
    <row r="159" spans="1:48">
      <c r="A159" s="26">
        <v>7</v>
      </c>
      <c r="B159" s="26">
        <f>MONTH('Report Inputs'!$B$2)</f>
        <v>11</v>
      </c>
      <c r="C159" s="26">
        <f>YEAR('Report Inputs'!$B$2)</f>
        <v>2015</v>
      </c>
      <c r="D159" s="26">
        <v>66571</v>
      </c>
      <c r="F159" s="26" t="s">
        <v>65</v>
      </c>
      <c r="G159" s="26" t="s">
        <v>66</v>
      </c>
      <c r="H159" s="26" t="s">
        <v>67</v>
      </c>
      <c r="I159" s="26" t="s">
        <v>68</v>
      </c>
      <c r="J159" s="26" t="s">
        <v>69</v>
      </c>
      <c r="K159" s="26">
        <v>713</v>
      </c>
      <c r="L159" s="26" t="s">
        <v>70</v>
      </c>
      <c r="M159" s="26">
        <v>713</v>
      </c>
      <c r="N159" s="26" t="s">
        <v>71</v>
      </c>
      <c r="O159" s="26" t="s">
        <v>72</v>
      </c>
      <c r="P159" s="26">
        <v>45</v>
      </c>
      <c r="Q159" s="27">
        <v>15230</v>
      </c>
      <c r="R159" s="26">
        <v>0</v>
      </c>
      <c r="S159" s="26" t="s">
        <v>648</v>
      </c>
      <c r="T159" s="26" t="s">
        <v>80</v>
      </c>
      <c r="U159" s="26" t="str">
        <f t="shared" si="62"/>
        <v>PR</v>
      </c>
      <c r="V159" s="26">
        <f t="shared" si="63"/>
        <v>30</v>
      </c>
      <c r="W159" s="26" t="s">
        <v>107</v>
      </c>
      <c r="X159" s="26">
        <v>16</v>
      </c>
      <c r="Y159" s="26" t="s">
        <v>74</v>
      </c>
      <c r="Z159" s="26" t="s">
        <v>75</v>
      </c>
      <c r="AA159" s="28">
        <f t="shared" si="73"/>
        <v>0.37</v>
      </c>
      <c r="AB159" s="28">
        <f t="shared" si="74"/>
        <v>4.9770000000000003</v>
      </c>
      <c r="AC159" s="28">
        <f t="shared" si="75"/>
        <v>4.9950000000000001</v>
      </c>
      <c r="AD159" s="28">
        <f t="shared" si="76"/>
        <v>0</v>
      </c>
      <c r="AE159" s="28">
        <f t="shared" si="77"/>
        <v>0.35199999999999998</v>
      </c>
      <c r="AF159" s="28">
        <f t="shared" si="68"/>
        <v>3641.41</v>
      </c>
      <c r="AG159" s="28">
        <f t="shared" si="69"/>
        <v>0.89</v>
      </c>
      <c r="AH159" s="28">
        <v>371</v>
      </c>
      <c r="AI159" s="28">
        <f t="shared" si="60"/>
        <v>0</v>
      </c>
      <c r="AJ159" s="28">
        <f t="shared" si="71"/>
        <v>3268.6129999999998</v>
      </c>
      <c r="AK159" s="30">
        <f>'Report Inputs'!$F$2</f>
        <v>55.9</v>
      </c>
      <c r="AL159" s="28">
        <f>'Report Inputs'!$E$2</f>
        <v>1080</v>
      </c>
      <c r="AM159" s="28">
        <f t="shared" si="72"/>
        <v>39.621000000000002</v>
      </c>
      <c r="AN159" s="26" t="s">
        <v>744</v>
      </c>
      <c r="AS159" s="26" t="s">
        <v>76</v>
      </c>
      <c r="AT159" s="26" t="s">
        <v>77</v>
      </c>
      <c r="AU159" s="26" t="s">
        <v>78</v>
      </c>
      <c r="AV159" s="31">
        <f t="shared" ca="1" si="59"/>
        <v>42376.365370833337</v>
      </c>
    </row>
    <row r="160" spans="1:48">
      <c r="A160" s="26">
        <v>7</v>
      </c>
      <c r="B160" s="26">
        <f>MONTH('Report Inputs'!$B$2)</f>
        <v>11</v>
      </c>
      <c r="C160" s="26">
        <f>YEAR('Report Inputs'!$B$2)</f>
        <v>2015</v>
      </c>
      <c r="D160" s="26">
        <v>66571</v>
      </c>
      <c r="F160" s="26" t="s">
        <v>65</v>
      </c>
      <c r="G160" s="26" t="s">
        <v>66</v>
      </c>
      <c r="H160" s="26" t="s">
        <v>67</v>
      </c>
      <c r="I160" s="26" t="s">
        <v>68</v>
      </c>
      <c r="J160" s="26" t="s">
        <v>69</v>
      </c>
      <c r="K160" s="26">
        <v>713</v>
      </c>
      <c r="L160" s="26" t="s">
        <v>70</v>
      </c>
      <c r="M160" s="26">
        <v>713</v>
      </c>
      <c r="N160" s="26" t="s">
        <v>71</v>
      </c>
      <c r="O160" s="26" t="s">
        <v>72</v>
      </c>
      <c r="P160" s="26">
        <v>45</v>
      </c>
      <c r="Q160" s="27">
        <v>15231</v>
      </c>
      <c r="R160" s="26">
        <v>0</v>
      </c>
      <c r="S160" s="26" t="s">
        <v>294</v>
      </c>
      <c r="T160" s="26" t="s">
        <v>83</v>
      </c>
      <c r="U160" s="26" t="str">
        <f t="shared" si="62"/>
        <v>PR</v>
      </c>
      <c r="V160" s="26">
        <f t="shared" si="63"/>
        <v>30</v>
      </c>
      <c r="W160" s="26" t="s">
        <v>107</v>
      </c>
      <c r="X160" s="26">
        <v>16</v>
      </c>
      <c r="Y160" s="26" t="s">
        <v>74</v>
      </c>
      <c r="Z160" s="26" t="s">
        <v>75</v>
      </c>
      <c r="AA160" s="28">
        <f t="shared" si="73"/>
        <v>0.26300000000000001</v>
      </c>
      <c r="AB160" s="28">
        <f t="shared" si="74"/>
        <v>3.6949999999999998</v>
      </c>
      <c r="AC160" s="28">
        <f t="shared" si="75"/>
        <v>3.698</v>
      </c>
      <c r="AD160" s="28">
        <f t="shared" si="76"/>
        <v>0</v>
      </c>
      <c r="AE160" s="28">
        <f t="shared" si="77"/>
        <v>0.26</v>
      </c>
      <c r="AF160" s="28">
        <f t="shared" si="68"/>
        <v>2819.83</v>
      </c>
      <c r="AG160" s="28">
        <f t="shared" si="69"/>
        <v>0.66</v>
      </c>
      <c r="AH160" s="28">
        <f t="shared" si="70"/>
        <v>392.17500000000001</v>
      </c>
      <c r="AI160" s="28">
        <f t="shared" si="60"/>
        <v>0</v>
      </c>
      <c r="AJ160" s="28">
        <f t="shared" si="71"/>
        <v>2426.9949999999999</v>
      </c>
      <c r="AK160" s="30">
        <f>'Report Inputs'!$F$2</f>
        <v>55.9</v>
      </c>
      <c r="AL160" s="28">
        <f>'Report Inputs'!$E$2</f>
        <v>1080</v>
      </c>
      <c r="AM160" s="28">
        <f t="shared" si="72"/>
        <v>29.419</v>
      </c>
      <c r="AN160" s="26" t="s">
        <v>744</v>
      </c>
      <c r="AS160" s="26" t="s">
        <v>76</v>
      </c>
      <c r="AT160" s="26" t="s">
        <v>77</v>
      </c>
      <c r="AU160" s="26" t="s">
        <v>78</v>
      </c>
      <c r="AV160" s="31">
        <f t="shared" ca="1" si="59"/>
        <v>42376.365370833337</v>
      </c>
    </row>
    <row r="161" spans="1:48">
      <c r="A161" s="26">
        <v>7</v>
      </c>
      <c r="B161" s="26">
        <f>MONTH('Report Inputs'!$B$2)</f>
        <v>11</v>
      </c>
      <c r="C161" s="26">
        <f>YEAR('Report Inputs'!$B$2)</f>
        <v>2015</v>
      </c>
      <c r="D161" s="26">
        <v>66571</v>
      </c>
      <c r="F161" s="26" t="s">
        <v>65</v>
      </c>
      <c r="G161" s="26" t="s">
        <v>66</v>
      </c>
      <c r="H161" s="26" t="s">
        <v>67</v>
      </c>
      <c r="I161" s="26" t="s">
        <v>68</v>
      </c>
      <c r="J161" s="26" t="s">
        <v>69</v>
      </c>
      <c r="K161" s="26">
        <v>713</v>
      </c>
      <c r="L161" s="26" t="s">
        <v>70</v>
      </c>
      <c r="M161" s="26">
        <v>713</v>
      </c>
      <c r="N161" s="26" t="s">
        <v>71</v>
      </c>
      <c r="O161" s="26" t="s">
        <v>72</v>
      </c>
      <c r="P161" s="26">
        <v>45</v>
      </c>
      <c r="Q161" s="27">
        <v>15242</v>
      </c>
      <c r="R161" s="26">
        <v>0</v>
      </c>
      <c r="S161" s="26" t="s">
        <v>268</v>
      </c>
      <c r="T161" s="26" t="s">
        <v>80</v>
      </c>
      <c r="U161" s="26" t="str">
        <f t="shared" si="62"/>
        <v>SI</v>
      </c>
      <c r="V161" s="26">
        <f t="shared" si="63"/>
        <v>0</v>
      </c>
      <c r="W161" s="26" t="s">
        <v>73</v>
      </c>
      <c r="X161" s="26">
        <v>17</v>
      </c>
      <c r="Y161" s="26" t="s">
        <v>74</v>
      </c>
      <c r="Z161" s="26" t="s">
        <v>75</v>
      </c>
      <c r="AA161" s="28">
        <f t="shared" si="73"/>
        <v>0</v>
      </c>
      <c r="AB161" s="28">
        <f t="shared" si="74"/>
        <v>0</v>
      </c>
      <c r="AC161" s="28">
        <f t="shared" si="75"/>
        <v>0</v>
      </c>
      <c r="AD161" s="28">
        <f t="shared" si="76"/>
        <v>0</v>
      </c>
      <c r="AE161" s="28">
        <f t="shared" si="77"/>
        <v>0</v>
      </c>
      <c r="AF161" s="28">
        <f t="shared" si="68"/>
        <v>0</v>
      </c>
      <c r="AG161" s="28">
        <f t="shared" si="69"/>
        <v>0</v>
      </c>
      <c r="AH161" s="28">
        <f t="shared" si="70"/>
        <v>0</v>
      </c>
      <c r="AI161" s="28">
        <f t="shared" si="60"/>
        <v>0</v>
      </c>
      <c r="AJ161" s="28">
        <f t="shared" si="71"/>
        <v>0</v>
      </c>
      <c r="AM161" s="28">
        <f t="shared" si="72"/>
        <v>0</v>
      </c>
      <c r="AN161" s="26" t="s">
        <v>744</v>
      </c>
      <c r="AS161" s="26" t="s">
        <v>76</v>
      </c>
      <c r="AT161" s="26" t="s">
        <v>77</v>
      </c>
      <c r="AU161" s="26" t="s">
        <v>78</v>
      </c>
      <c r="AV161" s="31">
        <f t="shared" ca="1" si="59"/>
        <v>42376.365370833337</v>
      </c>
    </row>
    <row r="162" spans="1:48">
      <c r="A162" s="26">
        <v>7</v>
      </c>
      <c r="B162" s="26">
        <f>MONTH('Report Inputs'!$B$2)</f>
        <v>11</v>
      </c>
      <c r="C162" s="26">
        <f>YEAR('Report Inputs'!$B$2)</f>
        <v>2015</v>
      </c>
      <c r="D162" s="26">
        <v>66571</v>
      </c>
      <c r="F162" s="26" t="s">
        <v>65</v>
      </c>
      <c r="G162" s="26" t="s">
        <v>66</v>
      </c>
      <c r="H162" s="26" t="s">
        <v>67</v>
      </c>
      <c r="I162" s="26" t="s">
        <v>68</v>
      </c>
      <c r="J162" s="26" t="s">
        <v>69</v>
      </c>
      <c r="K162" s="26">
        <v>713</v>
      </c>
      <c r="L162" s="26" t="s">
        <v>70</v>
      </c>
      <c r="M162" s="26">
        <v>713</v>
      </c>
      <c r="N162" s="26" t="s">
        <v>71</v>
      </c>
      <c r="O162" s="26" t="s">
        <v>72</v>
      </c>
      <c r="P162" s="26">
        <v>45</v>
      </c>
      <c r="Q162" s="27">
        <v>15245</v>
      </c>
      <c r="R162" s="26">
        <v>0</v>
      </c>
      <c r="S162" s="26" t="s">
        <v>260</v>
      </c>
      <c r="T162" s="26" t="s">
        <v>80</v>
      </c>
      <c r="U162" s="26" t="str">
        <f t="shared" si="62"/>
        <v>PR</v>
      </c>
      <c r="V162" s="26">
        <f t="shared" si="63"/>
        <v>30</v>
      </c>
      <c r="W162" s="26" t="s">
        <v>73</v>
      </c>
      <c r="X162" s="26">
        <v>17</v>
      </c>
      <c r="Y162" s="26" t="s">
        <v>74</v>
      </c>
      <c r="Z162" s="26" t="s">
        <v>75</v>
      </c>
      <c r="AA162" s="28">
        <f t="shared" si="73"/>
        <v>0.52300000000000002</v>
      </c>
      <c r="AB162" s="28">
        <f t="shared" si="74"/>
        <v>5.9649999999999999</v>
      </c>
      <c r="AC162" s="28">
        <f t="shared" si="75"/>
        <v>6.1369999999999996</v>
      </c>
      <c r="AD162" s="28">
        <f t="shared" si="76"/>
        <v>-1</v>
      </c>
      <c r="AE162" s="28">
        <f t="shared" si="77"/>
        <v>0.35099999999999998</v>
      </c>
      <c r="AF162" s="28">
        <f t="shared" si="68"/>
        <v>2872.35</v>
      </c>
      <c r="AG162" s="28">
        <f t="shared" si="69"/>
        <v>1.1200000000000001</v>
      </c>
      <c r="AH162" s="28">
        <v>259</v>
      </c>
      <c r="AI162" s="28">
        <f t="shared" si="60"/>
        <v>0</v>
      </c>
      <c r="AJ162" s="28">
        <f t="shared" si="71"/>
        <v>2611.5230000000001</v>
      </c>
      <c r="AK162" s="30">
        <f>'Report Inputs'!$F$2</f>
        <v>55.9</v>
      </c>
      <c r="AL162" s="28">
        <f>'Report Inputs'!$E$2</f>
        <v>1080</v>
      </c>
      <c r="AM162" s="28">
        <f t="shared" si="72"/>
        <v>81.108000000000004</v>
      </c>
      <c r="AN162" s="26" t="s">
        <v>744</v>
      </c>
      <c r="AS162" s="26" t="s">
        <v>76</v>
      </c>
      <c r="AT162" s="26" t="s">
        <v>77</v>
      </c>
      <c r="AU162" s="26" t="s">
        <v>78</v>
      </c>
      <c r="AV162" s="31">
        <f t="shared" ca="1" si="59"/>
        <v>42376.365370833337</v>
      </c>
    </row>
    <row r="163" spans="1:48">
      <c r="A163" s="26">
        <v>7</v>
      </c>
      <c r="B163" s="26">
        <f>MONTH('Report Inputs'!$B$2)</f>
        <v>11</v>
      </c>
      <c r="C163" s="26">
        <f>YEAR('Report Inputs'!$B$2)</f>
        <v>2015</v>
      </c>
      <c r="D163" s="26">
        <v>66571</v>
      </c>
      <c r="F163" s="26" t="s">
        <v>65</v>
      </c>
      <c r="G163" s="26" t="s">
        <v>66</v>
      </c>
      <c r="H163" s="26" t="s">
        <v>67</v>
      </c>
      <c r="I163" s="26" t="s">
        <v>68</v>
      </c>
      <c r="J163" s="26" t="s">
        <v>69</v>
      </c>
      <c r="K163" s="26">
        <v>713</v>
      </c>
      <c r="L163" s="26" t="s">
        <v>70</v>
      </c>
      <c r="M163" s="26">
        <v>713</v>
      </c>
      <c r="N163" s="26" t="s">
        <v>71</v>
      </c>
      <c r="O163" s="26" t="s">
        <v>72</v>
      </c>
      <c r="P163" s="26">
        <v>45</v>
      </c>
      <c r="Q163" s="27">
        <v>15246</v>
      </c>
      <c r="R163" s="26">
        <v>0</v>
      </c>
      <c r="S163" s="26" t="s">
        <v>259</v>
      </c>
      <c r="T163" s="26" t="s">
        <v>83</v>
      </c>
      <c r="U163" s="26" t="str">
        <f t="shared" si="62"/>
        <v>PR</v>
      </c>
      <c r="V163" s="26">
        <f t="shared" si="63"/>
        <v>30</v>
      </c>
      <c r="W163" s="26" t="s">
        <v>73</v>
      </c>
      <c r="X163" s="26">
        <v>17</v>
      </c>
      <c r="Y163" s="26" t="s">
        <v>74</v>
      </c>
      <c r="Z163" s="26" t="s">
        <v>75</v>
      </c>
      <c r="AA163" s="28">
        <f t="shared" si="73"/>
        <v>0.59299999999999997</v>
      </c>
      <c r="AB163" s="28">
        <f t="shared" si="74"/>
        <v>6.7210000000000001</v>
      </c>
      <c r="AC163" s="28">
        <f t="shared" si="75"/>
        <v>6.9180000000000001</v>
      </c>
      <c r="AD163" s="28">
        <f t="shared" si="76"/>
        <v>-1</v>
      </c>
      <c r="AE163" s="28">
        <f t="shared" si="77"/>
        <v>0.39600000000000002</v>
      </c>
      <c r="AF163" s="28">
        <f t="shared" si="68"/>
        <v>3359.13</v>
      </c>
      <c r="AG163" s="28">
        <f t="shared" si="69"/>
        <v>1.26</v>
      </c>
      <c r="AH163" s="28">
        <f t="shared" si="70"/>
        <v>415.55399999999997</v>
      </c>
      <c r="AI163" s="28">
        <f t="shared" si="60"/>
        <v>0</v>
      </c>
      <c r="AJ163" s="28">
        <f t="shared" si="71"/>
        <v>2942.3159999999998</v>
      </c>
      <c r="AK163" s="30">
        <f>'Report Inputs'!$F$2</f>
        <v>55.9</v>
      </c>
      <c r="AL163" s="28">
        <f>'Report Inputs'!$E$2</f>
        <v>1080</v>
      </c>
      <c r="AM163" s="28">
        <f t="shared" si="72"/>
        <v>91.382000000000005</v>
      </c>
      <c r="AN163" s="26" t="s">
        <v>744</v>
      </c>
      <c r="AS163" s="26" t="s">
        <v>76</v>
      </c>
      <c r="AT163" s="26" t="s">
        <v>77</v>
      </c>
      <c r="AU163" s="26" t="s">
        <v>78</v>
      </c>
      <c r="AV163" s="31">
        <f t="shared" ca="1" si="59"/>
        <v>42376.365370833337</v>
      </c>
    </row>
    <row r="164" spans="1:48">
      <c r="A164" s="26">
        <v>7</v>
      </c>
      <c r="B164" s="26">
        <f>MONTH('Report Inputs'!$B$2)</f>
        <v>11</v>
      </c>
      <c r="C164" s="26">
        <f>YEAR('Report Inputs'!$B$2)</f>
        <v>2015</v>
      </c>
      <c r="D164" s="26">
        <v>66571</v>
      </c>
      <c r="F164" s="26" t="s">
        <v>65</v>
      </c>
      <c r="G164" s="26" t="s">
        <v>66</v>
      </c>
      <c r="H164" s="26" t="s">
        <v>67</v>
      </c>
      <c r="I164" s="26" t="s">
        <v>68</v>
      </c>
      <c r="J164" s="26" t="s">
        <v>69</v>
      </c>
      <c r="K164" s="26">
        <v>713</v>
      </c>
      <c r="L164" s="26" t="s">
        <v>70</v>
      </c>
      <c r="M164" s="26">
        <v>713</v>
      </c>
      <c r="N164" s="26" t="s">
        <v>71</v>
      </c>
      <c r="O164" s="26" t="s">
        <v>72</v>
      </c>
      <c r="P164" s="26">
        <v>45</v>
      </c>
      <c r="Q164" s="27">
        <v>15247</v>
      </c>
      <c r="R164" s="26">
        <v>0</v>
      </c>
      <c r="S164" s="26" t="s">
        <v>261</v>
      </c>
      <c r="T164" s="26" t="s">
        <v>83</v>
      </c>
      <c r="U164" s="26" t="str">
        <f t="shared" si="62"/>
        <v>PR</v>
      </c>
      <c r="V164" s="26">
        <f t="shared" si="63"/>
        <v>30</v>
      </c>
      <c r="W164" s="26" t="s">
        <v>73</v>
      </c>
      <c r="X164" s="26">
        <v>17</v>
      </c>
      <c r="Y164" s="26" t="s">
        <v>74</v>
      </c>
      <c r="Z164" s="26" t="s">
        <v>75</v>
      </c>
      <c r="AA164" s="28">
        <f t="shared" si="73"/>
        <v>0.78700000000000003</v>
      </c>
      <c r="AB164" s="28">
        <f t="shared" si="74"/>
        <v>8.68</v>
      </c>
      <c r="AC164" s="28">
        <f t="shared" si="75"/>
        <v>8.9550000000000001</v>
      </c>
      <c r="AD164" s="28">
        <f t="shared" si="76"/>
        <v>0</v>
      </c>
      <c r="AE164" s="28">
        <f t="shared" si="77"/>
        <v>0.51200000000000001</v>
      </c>
      <c r="AF164" s="28">
        <f t="shared" si="68"/>
        <v>4114.96</v>
      </c>
      <c r="AG164" s="28">
        <f t="shared" si="69"/>
        <v>1.63</v>
      </c>
      <c r="AH164" s="28">
        <v>313</v>
      </c>
      <c r="AI164" s="28">
        <f t="shared" si="60"/>
        <v>0</v>
      </c>
      <c r="AJ164" s="28">
        <f t="shared" si="71"/>
        <v>3799.7179999999998</v>
      </c>
      <c r="AK164" s="30">
        <f>'Report Inputs'!$F$2</f>
        <v>55.9</v>
      </c>
      <c r="AL164" s="28">
        <f>'Report Inputs'!$E$2</f>
        <v>1080</v>
      </c>
      <c r="AM164" s="28">
        <f t="shared" si="72"/>
        <v>118.011</v>
      </c>
      <c r="AN164" s="26" t="s">
        <v>744</v>
      </c>
      <c r="AS164" s="26" t="s">
        <v>76</v>
      </c>
      <c r="AT164" s="26" t="s">
        <v>77</v>
      </c>
      <c r="AU164" s="26" t="s">
        <v>78</v>
      </c>
      <c r="AV164" s="31">
        <f t="shared" ca="1" si="59"/>
        <v>42376.365370833337</v>
      </c>
    </row>
    <row r="165" spans="1:48">
      <c r="A165" s="26">
        <v>7</v>
      </c>
      <c r="B165" s="26">
        <f>MONTH('Report Inputs'!$B$2)</f>
        <v>11</v>
      </c>
      <c r="C165" s="26">
        <f>YEAR('Report Inputs'!$B$2)</f>
        <v>2015</v>
      </c>
      <c r="D165" s="26">
        <v>66571</v>
      </c>
      <c r="F165" s="26" t="s">
        <v>65</v>
      </c>
      <c r="G165" s="26" t="s">
        <v>66</v>
      </c>
      <c r="H165" s="26" t="s">
        <v>67</v>
      </c>
      <c r="I165" s="26" t="s">
        <v>68</v>
      </c>
      <c r="J165" s="26" t="s">
        <v>69</v>
      </c>
      <c r="K165" s="26">
        <v>713</v>
      </c>
      <c r="L165" s="26" t="s">
        <v>70</v>
      </c>
      <c r="M165" s="26">
        <v>713</v>
      </c>
      <c r="N165" s="26" t="s">
        <v>71</v>
      </c>
      <c r="O165" s="26" t="s">
        <v>72</v>
      </c>
      <c r="P165" s="26">
        <v>45</v>
      </c>
      <c r="Q165" s="27">
        <v>15248</v>
      </c>
      <c r="R165" s="26">
        <v>0</v>
      </c>
      <c r="S165" s="26" t="s">
        <v>262</v>
      </c>
      <c r="T165" s="26" t="s">
        <v>83</v>
      </c>
      <c r="U165" s="26" t="str">
        <f t="shared" si="62"/>
        <v>PR</v>
      </c>
      <c r="V165" s="26">
        <f t="shared" si="63"/>
        <v>30</v>
      </c>
      <c r="W165" s="26" t="s">
        <v>73</v>
      </c>
      <c r="X165" s="26">
        <v>17</v>
      </c>
      <c r="Y165" s="26" t="s">
        <v>74</v>
      </c>
      <c r="Z165" s="26" t="s">
        <v>75</v>
      </c>
      <c r="AA165" s="28">
        <f t="shared" si="73"/>
        <v>0.43099999999999999</v>
      </c>
      <c r="AB165" s="28">
        <f t="shared" si="74"/>
        <v>4.8869999999999996</v>
      </c>
      <c r="AC165" s="28">
        <f t="shared" si="75"/>
        <v>5.032</v>
      </c>
      <c r="AD165" s="28">
        <f t="shared" si="76"/>
        <v>0</v>
      </c>
      <c r="AE165" s="28">
        <f t="shared" si="77"/>
        <v>0.28599999999999998</v>
      </c>
      <c r="AF165" s="28">
        <f t="shared" si="68"/>
        <v>2378.4499999999998</v>
      </c>
      <c r="AG165" s="28">
        <f t="shared" si="69"/>
        <v>0.92</v>
      </c>
      <c r="AH165" s="28">
        <f t="shared" si="70"/>
        <v>238.28100000000001</v>
      </c>
      <c r="AI165" s="28">
        <f t="shared" si="60"/>
        <v>0</v>
      </c>
      <c r="AJ165" s="28">
        <f t="shared" si="71"/>
        <v>2139.2489999999998</v>
      </c>
      <c r="AK165" s="30">
        <f>'Report Inputs'!$F$2</f>
        <v>55.9</v>
      </c>
      <c r="AL165" s="28">
        <f>'Report Inputs'!$E$2</f>
        <v>1080</v>
      </c>
      <c r="AM165" s="28">
        <f t="shared" si="72"/>
        <v>66.441000000000003</v>
      </c>
      <c r="AN165" s="26" t="s">
        <v>744</v>
      </c>
      <c r="AS165" s="26" t="s">
        <v>76</v>
      </c>
      <c r="AT165" s="26" t="s">
        <v>77</v>
      </c>
      <c r="AU165" s="26" t="s">
        <v>78</v>
      </c>
      <c r="AV165" s="31">
        <f t="shared" ca="1" si="59"/>
        <v>42376.365370833337</v>
      </c>
    </row>
    <row r="166" spans="1:48">
      <c r="A166" s="26">
        <v>7</v>
      </c>
      <c r="B166" s="26">
        <f>MONTH('Report Inputs'!$B$2)</f>
        <v>11</v>
      </c>
      <c r="C166" s="26">
        <f>YEAR('Report Inputs'!$B$2)</f>
        <v>2015</v>
      </c>
      <c r="D166" s="26">
        <v>66571</v>
      </c>
      <c r="F166" s="26" t="s">
        <v>65</v>
      </c>
      <c r="G166" s="26" t="s">
        <v>66</v>
      </c>
      <c r="H166" s="26" t="s">
        <v>67</v>
      </c>
      <c r="I166" s="26" t="s">
        <v>68</v>
      </c>
      <c r="J166" s="26" t="s">
        <v>69</v>
      </c>
      <c r="K166" s="26">
        <v>713</v>
      </c>
      <c r="L166" s="26" t="s">
        <v>70</v>
      </c>
      <c r="M166" s="26">
        <v>713</v>
      </c>
      <c r="N166" s="26" t="s">
        <v>71</v>
      </c>
      <c r="O166" s="26" t="s">
        <v>72</v>
      </c>
      <c r="P166" s="26">
        <v>45</v>
      </c>
      <c r="Q166" s="27">
        <v>15249</v>
      </c>
      <c r="R166" s="26">
        <v>0</v>
      </c>
      <c r="S166" s="26" t="s">
        <v>264</v>
      </c>
      <c r="T166" s="26" t="s">
        <v>83</v>
      </c>
      <c r="U166" s="26" t="str">
        <f t="shared" si="62"/>
        <v>PR</v>
      </c>
      <c r="V166" s="26">
        <f t="shared" si="63"/>
        <v>30</v>
      </c>
      <c r="W166" s="26" t="s">
        <v>73</v>
      </c>
      <c r="X166" s="26">
        <v>17</v>
      </c>
      <c r="Y166" s="26" t="s">
        <v>74</v>
      </c>
      <c r="Z166" s="26" t="s">
        <v>75</v>
      </c>
      <c r="AA166" s="28">
        <f t="shared" si="73"/>
        <v>0.64300000000000002</v>
      </c>
      <c r="AB166" s="28">
        <f t="shared" si="74"/>
        <v>7.3019999999999996</v>
      </c>
      <c r="AC166" s="28">
        <f t="shared" si="75"/>
        <v>7.5149999999999997</v>
      </c>
      <c r="AD166" s="28">
        <f t="shared" si="76"/>
        <v>0</v>
      </c>
      <c r="AE166" s="28">
        <f t="shared" si="77"/>
        <v>0.43</v>
      </c>
      <c r="AF166" s="28">
        <f t="shared" si="68"/>
        <v>3484.9</v>
      </c>
      <c r="AG166" s="28">
        <v>2</v>
      </c>
      <c r="AH166" s="28">
        <f t="shared" si="70"/>
        <v>286.27999999999997</v>
      </c>
      <c r="AI166" s="28">
        <f t="shared" si="60"/>
        <v>0</v>
      </c>
      <c r="AJ166" s="28">
        <f t="shared" si="71"/>
        <v>3197.25</v>
      </c>
      <c r="AK166" s="30">
        <f>'Report Inputs'!$F$2</f>
        <v>55.9</v>
      </c>
      <c r="AL166" s="28">
        <f>'Report Inputs'!$E$2</f>
        <v>1080</v>
      </c>
      <c r="AM166" s="28">
        <f t="shared" si="72"/>
        <v>99.3</v>
      </c>
      <c r="AN166" s="26" t="s">
        <v>744</v>
      </c>
      <c r="AS166" s="26" t="s">
        <v>76</v>
      </c>
      <c r="AT166" s="26" t="s">
        <v>77</v>
      </c>
      <c r="AU166" s="26" t="s">
        <v>78</v>
      </c>
      <c r="AV166" s="31">
        <f t="shared" ca="1" si="59"/>
        <v>42376.365370833337</v>
      </c>
    </row>
    <row r="167" spans="1:48">
      <c r="A167" s="26">
        <v>7</v>
      </c>
      <c r="B167" s="26">
        <f>MONTH('Report Inputs'!$B$2)</f>
        <v>11</v>
      </c>
      <c r="C167" s="26">
        <f>YEAR('Report Inputs'!$B$2)</f>
        <v>2015</v>
      </c>
      <c r="D167" s="26">
        <v>66571</v>
      </c>
      <c r="F167" s="26" t="s">
        <v>65</v>
      </c>
      <c r="G167" s="26" t="s">
        <v>66</v>
      </c>
      <c r="H167" s="26" t="s">
        <v>67</v>
      </c>
      <c r="I167" s="26" t="s">
        <v>68</v>
      </c>
      <c r="J167" s="26" t="s">
        <v>69</v>
      </c>
      <c r="K167" s="26">
        <v>713</v>
      </c>
      <c r="L167" s="26" t="s">
        <v>70</v>
      </c>
      <c r="M167" s="26">
        <v>713</v>
      </c>
      <c r="N167" s="26" t="s">
        <v>71</v>
      </c>
      <c r="O167" s="26" t="s">
        <v>72</v>
      </c>
      <c r="P167" s="26">
        <v>45</v>
      </c>
      <c r="Q167" s="27">
        <v>15250</v>
      </c>
      <c r="R167" s="26">
        <v>0</v>
      </c>
      <c r="S167" s="26" t="s">
        <v>269</v>
      </c>
      <c r="T167" s="26" t="s">
        <v>80</v>
      </c>
      <c r="U167" s="26" t="str">
        <f t="shared" si="62"/>
        <v>PR</v>
      </c>
      <c r="V167" s="26">
        <f t="shared" si="63"/>
        <v>30</v>
      </c>
      <c r="W167" s="26" t="s">
        <v>73</v>
      </c>
      <c r="X167" s="26">
        <v>17</v>
      </c>
      <c r="Y167" s="26" t="s">
        <v>74</v>
      </c>
      <c r="Z167" s="26" t="s">
        <v>75</v>
      </c>
      <c r="AA167" s="28">
        <f t="shared" si="73"/>
        <v>0.55600000000000005</v>
      </c>
      <c r="AB167" s="28">
        <f t="shared" si="74"/>
        <v>6.2709999999999999</v>
      </c>
      <c r="AC167" s="28">
        <f t="shared" si="75"/>
        <v>6.4580000000000002</v>
      </c>
      <c r="AD167" s="28">
        <f t="shared" si="76"/>
        <v>-1</v>
      </c>
      <c r="AE167" s="28">
        <f t="shared" si="77"/>
        <v>0.36899999999999999</v>
      </c>
      <c r="AF167" s="28">
        <f t="shared" si="68"/>
        <v>3012.91</v>
      </c>
      <c r="AG167" s="28">
        <f t="shared" si="69"/>
        <v>1.18</v>
      </c>
      <c r="AH167" s="28">
        <f t="shared" si="70"/>
        <v>265.80399999999997</v>
      </c>
      <c r="AI167" s="28">
        <f t="shared" si="60"/>
        <v>0</v>
      </c>
      <c r="AJ167" s="28">
        <f t="shared" si="71"/>
        <v>2745.9259999999999</v>
      </c>
      <c r="AK167" s="30">
        <f>'Report Inputs'!$F$2</f>
        <v>55.9</v>
      </c>
      <c r="AL167" s="28">
        <f>'Report Inputs'!$E$2</f>
        <v>1080</v>
      </c>
      <c r="AM167" s="28">
        <f t="shared" si="72"/>
        <v>85.283000000000001</v>
      </c>
      <c r="AN167" s="26" t="s">
        <v>744</v>
      </c>
      <c r="AS167" s="26" t="s">
        <v>76</v>
      </c>
      <c r="AT167" s="26" t="s">
        <v>77</v>
      </c>
      <c r="AU167" s="26" t="s">
        <v>78</v>
      </c>
      <c r="AV167" s="31">
        <f t="shared" ca="1" si="59"/>
        <v>42376.365370833337</v>
      </c>
    </row>
    <row r="168" spans="1:48">
      <c r="A168" s="26">
        <v>7</v>
      </c>
      <c r="B168" s="26">
        <f>MONTH('Report Inputs'!$B$2)</f>
        <v>11</v>
      </c>
      <c r="C168" s="26">
        <f>YEAR('Report Inputs'!$B$2)</f>
        <v>2015</v>
      </c>
      <c r="D168" s="26">
        <v>66571</v>
      </c>
      <c r="F168" s="26" t="s">
        <v>65</v>
      </c>
      <c r="G168" s="26" t="s">
        <v>66</v>
      </c>
      <c r="H168" s="26" t="s">
        <v>67</v>
      </c>
      <c r="I168" s="26" t="s">
        <v>68</v>
      </c>
      <c r="J168" s="26" t="s">
        <v>69</v>
      </c>
      <c r="K168" s="26">
        <v>713</v>
      </c>
      <c r="L168" s="26" t="s">
        <v>70</v>
      </c>
      <c r="M168" s="26">
        <v>713</v>
      </c>
      <c r="N168" s="26" t="s">
        <v>71</v>
      </c>
      <c r="O168" s="26" t="s">
        <v>72</v>
      </c>
      <c r="P168" s="26">
        <v>45</v>
      </c>
      <c r="Q168" s="27">
        <v>15252</v>
      </c>
      <c r="R168" s="26">
        <v>0</v>
      </c>
      <c r="S168" s="26" t="s">
        <v>765</v>
      </c>
      <c r="T168" s="26" t="s">
        <v>80</v>
      </c>
      <c r="U168" s="26" t="str">
        <f t="shared" si="62"/>
        <v>PR</v>
      </c>
      <c r="V168" s="26">
        <f t="shared" si="63"/>
        <v>30</v>
      </c>
      <c r="W168" s="26" t="s">
        <v>73</v>
      </c>
      <c r="X168" s="26">
        <v>17</v>
      </c>
      <c r="Y168" s="26" t="s">
        <v>74</v>
      </c>
      <c r="Z168" s="26" t="s">
        <v>75</v>
      </c>
      <c r="AA168" s="28">
        <f t="shared" si="73"/>
        <v>0.58899999999999997</v>
      </c>
      <c r="AB168" s="28">
        <f t="shared" si="74"/>
        <v>6.4960000000000004</v>
      </c>
      <c r="AC168" s="28">
        <f t="shared" si="75"/>
        <v>6.702</v>
      </c>
      <c r="AD168" s="28">
        <f t="shared" si="76"/>
        <v>0</v>
      </c>
      <c r="AE168" s="28">
        <f t="shared" si="77"/>
        <v>0.38300000000000001</v>
      </c>
      <c r="AF168" s="28">
        <f t="shared" si="68"/>
        <v>3115.55</v>
      </c>
      <c r="AG168" s="28">
        <f t="shared" si="69"/>
        <v>1.22</v>
      </c>
      <c r="AH168" s="28">
        <v>271</v>
      </c>
      <c r="AI168" s="28">
        <f t="shared" si="60"/>
        <v>0</v>
      </c>
      <c r="AJ168" s="28">
        <f t="shared" si="71"/>
        <v>2844.0729999999999</v>
      </c>
      <c r="AK168" s="30">
        <f>'Report Inputs'!$F$2</f>
        <v>55.9</v>
      </c>
      <c r="AL168" s="28">
        <f>'Report Inputs'!$E$2</f>
        <v>1080</v>
      </c>
      <c r="AM168" s="28">
        <f t="shared" si="72"/>
        <v>88.33</v>
      </c>
      <c r="AN168" s="26" t="s">
        <v>744</v>
      </c>
      <c r="AS168" s="26" t="s">
        <v>76</v>
      </c>
      <c r="AT168" s="26" t="s">
        <v>77</v>
      </c>
      <c r="AU168" s="26" t="s">
        <v>78</v>
      </c>
      <c r="AV168" s="31">
        <f t="shared" ca="1" si="59"/>
        <v>42376.365370833337</v>
      </c>
    </row>
    <row r="169" spans="1:48">
      <c r="A169" s="26">
        <v>7</v>
      </c>
      <c r="B169" s="26">
        <f>MONTH('Report Inputs'!$B$2)</f>
        <v>11</v>
      </c>
      <c r="C169" s="26">
        <f>YEAR('Report Inputs'!$B$2)</f>
        <v>2015</v>
      </c>
      <c r="D169" s="26">
        <v>66571</v>
      </c>
      <c r="F169" s="26" t="s">
        <v>65</v>
      </c>
      <c r="G169" s="26" t="s">
        <v>66</v>
      </c>
      <c r="H169" s="26" t="s">
        <v>67</v>
      </c>
      <c r="I169" s="26" t="s">
        <v>68</v>
      </c>
      <c r="J169" s="26" t="s">
        <v>69</v>
      </c>
      <c r="K169" s="26">
        <v>713</v>
      </c>
      <c r="L169" s="26" t="s">
        <v>70</v>
      </c>
      <c r="M169" s="26">
        <v>713</v>
      </c>
      <c r="N169" s="26" t="s">
        <v>71</v>
      </c>
      <c r="O169" s="26" t="s">
        <v>72</v>
      </c>
      <c r="P169" s="26">
        <v>45</v>
      </c>
      <c r="Q169" s="27">
        <v>15253</v>
      </c>
      <c r="R169" s="26">
        <v>0</v>
      </c>
      <c r="S169" s="26" t="s">
        <v>267</v>
      </c>
      <c r="T169" s="26" t="s">
        <v>80</v>
      </c>
      <c r="U169" s="26" t="str">
        <f t="shared" si="62"/>
        <v>PR</v>
      </c>
      <c r="V169" s="26">
        <f t="shared" si="63"/>
        <v>30</v>
      </c>
      <c r="W169" s="26" t="s">
        <v>73</v>
      </c>
      <c r="X169" s="26">
        <v>17</v>
      </c>
      <c r="Y169" s="26" t="s">
        <v>74</v>
      </c>
      <c r="Z169" s="26" t="s">
        <v>75</v>
      </c>
      <c r="AA169" s="28">
        <f t="shared" si="73"/>
        <v>0.56899999999999995</v>
      </c>
      <c r="AB169" s="28">
        <f t="shared" si="74"/>
        <v>6.077</v>
      </c>
      <c r="AC169" s="28">
        <f t="shared" si="75"/>
        <v>6.2859999999999996</v>
      </c>
      <c r="AD169" s="28">
        <f t="shared" si="76"/>
        <v>-1</v>
      </c>
      <c r="AE169" s="28">
        <f t="shared" si="77"/>
        <v>0.36</v>
      </c>
      <c r="AF169" s="28">
        <f t="shared" si="68"/>
        <v>2895.54</v>
      </c>
      <c r="AG169" s="28">
        <f t="shared" si="69"/>
        <v>1.1399999999999999</v>
      </c>
      <c r="AH169" s="28">
        <f t="shared" si="70"/>
        <v>233.61199999999999</v>
      </c>
      <c r="AI169" s="28">
        <f t="shared" si="60"/>
        <v>0</v>
      </c>
      <c r="AJ169" s="28">
        <f t="shared" si="71"/>
        <v>2660.788</v>
      </c>
      <c r="AK169" s="30">
        <f>'Report Inputs'!$F$2</f>
        <v>55.9</v>
      </c>
      <c r="AL169" s="28">
        <f>'Report Inputs'!$E$2</f>
        <v>1080</v>
      </c>
      <c r="AM169" s="28">
        <f t="shared" si="72"/>
        <v>82.638000000000005</v>
      </c>
      <c r="AN169" s="26" t="s">
        <v>744</v>
      </c>
      <c r="AS169" s="26" t="s">
        <v>76</v>
      </c>
      <c r="AT169" s="26" t="s">
        <v>77</v>
      </c>
      <c r="AU169" s="26" t="s">
        <v>78</v>
      </c>
      <c r="AV169" s="31">
        <f t="shared" ca="1" si="59"/>
        <v>42376.365370833337</v>
      </c>
    </row>
    <row r="170" spans="1:48">
      <c r="A170" s="26">
        <v>7</v>
      </c>
      <c r="B170" s="26">
        <f>MONTH('Report Inputs'!$B$2)</f>
        <v>11</v>
      </c>
      <c r="C170" s="26">
        <f>YEAR('Report Inputs'!$B$2)</f>
        <v>2015</v>
      </c>
      <c r="D170" s="26">
        <v>66571</v>
      </c>
      <c r="F170" s="26" t="s">
        <v>65</v>
      </c>
      <c r="G170" s="26" t="s">
        <v>66</v>
      </c>
      <c r="H170" s="26" t="s">
        <v>67</v>
      </c>
      <c r="I170" s="26" t="s">
        <v>68</v>
      </c>
      <c r="J170" s="26" t="s">
        <v>69</v>
      </c>
      <c r="K170" s="26">
        <v>713</v>
      </c>
      <c r="L170" s="26" t="s">
        <v>70</v>
      </c>
      <c r="M170" s="26">
        <v>713</v>
      </c>
      <c r="N170" s="26" t="s">
        <v>71</v>
      </c>
      <c r="O170" s="26" t="s">
        <v>72</v>
      </c>
      <c r="P170" s="26">
        <v>45</v>
      </c>
      <c r="Q170" s="27">
        <v>15260</v>
      </c>
      <c r="R170" s="26">
        <v>0</v>
      </c>
      <c r="S170" s="26" t="s">
        <v>256</v>
      </c>
      <c r="T170" s="26" t="s">
        <v>83</v>
      </c>
      <c r="U170" s="26" t="str">
        <f t="shared" si="62"/>
        <v>PR</v>
      </c>
      <c r="V170" s="26">
        <f t="shared" si="63"/>
        <v>30</v>
      </c>
      <c r="W170" s="26" t="s">
        <v>73</v>
      </c>
      <c r="X170" s="26">
        <v>17</v>
      </c>
      <c r="Y170" s="26" t="s">
        <v>74</v>
      </c>
      <c r="Z170" s="26" t="s">
        <v>75</v>
      </c>
      <c r="AA170" s="28">
        <f t="shared" si="73"/>
        <v>0.52</v>
      </c>
      <c r="AB170" s="28">
        <f t="shared" si="74"/>
        <v>5.8979999999999997</v>
      </c>
      <c r="AC170" s="28">
        <f t="shared" si="75"/>
        <v>6.0709999999999997</v>
      </c>
      <c r="AD170" s="28">
        <f t="shared" si="76"/>
        <v>-1</v>
      </c>
      <c r="AE170" s="28">
        <f t="shared" si="77"/>
        <v>0.34699999999999998</v>
      </c>
      <c r="AF170" s="28">
        <f t="shared" si="68"/>
        <v>2812.81</v>
      </c>
      <c r="AG170" s="28">
        <f t="shared" si="69"/>
        <v>1.1100000000000001</v>
      </c>
      <c r="AH170" s="28">
        <f t="shared" si="70"/>
        <v>230.023</v>
      </c>
      <c r="AI170" s="28">
        <f t="shared" si="60"/>
        <v>0</v>
      </c>
      <c r="AJ170" s="28">
        <f t="shared" si="71"/>
        <v>2581.6770000000001</v>
      </c>
      <c r="AK170" s="30">
        <f>'Report Inputs'!$F$2</f>
        <v>55.9</v>
      </c>
      <c r="AL170" s="28">
        <f>'Report Inputs'!$E$2</f>
        <v>1080</v>
      </c>
      <c r="AM170" s="28">
        <f t="shared" si="72"/>
        <v>80.180999999999997</v>
      </c>
      <c r="AN170" s="26" t="s">
        <v>744</v>
      </c>
      <c r="AS170" s="26" t="s">
        <v>76</v>
      </c>
      <c r="AT170" s="26" t="s">
        <v>77</v>
      </c>
      <c r="AU170" s="26" t="s">
        <v>78</v>
      </c>
      <c r="AV170" s="31">
        <f t="shared" ca="1" si="59"/>
        <v>42376.365370833337</v>
      </c>
    </row>
    <row r="171" spans="1:48">
      <c r="A171" s="26">
        <v>7</v>
      </c>
      <c r="B171" s="26">
        <f>MONTH('Report Inputs'!$B$2)</f>
        <v>11</v>
      </c>
      <c r="C171" s="26">
        <f>YEAR('Report Inputs'!$B$2)</f>
        <v>2015</v>
      </c>
      <c r="D171" s="26">
        <v>66571</v>
      </c>
      <c r="F171" s="26" t="s">
        <v>65</v>
      </c>
      <c r="G171" s="26" t="s">
        <v>66</v>
      </c>
      <c r="H171" s="26" t="s">
        <v>67</v>
      </c>
      <c r="I171" s="26" t="s">
        <v>68</v>
      </c>
      <c r="J171" s="26" t="s">
        <v>69</v>
      </c>
      <c r="K171" s="26">
        <v>713</v>
      </c>
      <c r="L171" s="26" t="s">
        <v>70</v>
      </c>
      <c r="M171" s="26">
        <v>713</v>
      </c>
      <c r="N171" s="26" t="s">
        <v>71</v>
      </c>
      <c r="O171" s="26" t="s">
        <v>72</v>
      </c>
      <c r="P171" s="26">
        <v>45</v>
      </c>
      <c r="Q171" s="27">
        <v>15261</v>
      </c>
      <c r="R171" s="26">
        <v>0</v>
      </c>
      <c r="S171" s="26" t="s">
        <v>265</v>
      </c>
      <c r="T171" s="26" t="s">
        <v>83</v>
      </c>
      <c r="U171" s="26" t="str">
        <f t="shared" si="62"/>
        <v>PR</v>
      </c>
      <c r="V171" s="26">
        <f t="shared" si="63"/>
        <v>30</v>
      </c>
      <c r="W171" s="26" t="s">
        <v>73</v>
      </c>
      <c r="X171" s="26">
        <v>17</v>
      </c>
      <c r="Y171" s="26" t="s">
        <v>74</v>
      </c>
      <c r="Z171" s="26" t="s">
        <v>75</v>
      </c>
      <c r="AA171" s="28">
        <f t="shared" si="73"/>
        <v>0.32500000000000001</v>
      </c>
      <c r="AB171" s="28">
        <f t="shared" si="74"/>
        <v>3.7389999999999999</v>
      </c>
      <c r="AC171" s="28">
        <f t="shared" si="75"/>
        <v>3.8460000000000001</v>
      </c>
      <c r="AD171" s="28">
        <f t="shared" si="76"/>
        <v>0</v>
      </c>
      <c r="AE171" s="28">
        <f t="shared" si="77"/>
        <v>0.218</v>
      </c>
      <c r="AF171" s="28">
        <f t="shared" si="68"/>
        <v>1825.4</v>
      </c>
      <c r="AG171" s="28">
        <v>0</v>
      </c>
      <c r="AH171" s="28">
        <f t="shared" si="70"/>
        <v>187.18899999999999</v>
      </c>
      <c r="AI171" s="28">
        <f t="shared" si="60"/>
        <v>0</v>
      </c>
      <c r="AJ171" s="28">
        <f t="shared" si="71"/>
        <v>1637.511</v>
      </c>
      <c r="AK171" s="30">
        <f>'Report Inputs'!$F$2</f>
        <v>55.9</v>
      </c>
      <c r="AL171" s="28">
        <f>'Report Inputs'!$E$2</f>
        <v>1080</v>
      </c>
      <c r="AM171" s="28">
        <f t="shared" si="72"/>
        <v>50.857999999999997</v>
      </c>
      <c r="AN171" s="26" t="s">
        <v>744</v>
      </c>
      <c r="AS171" s="26" t="s">
        <v>76</v>
      </c>
      <c r="AT171" s="26" t="s">
        <v>77</v>
      </c>
      <c r="AU171" s="26" t="s">
        <v>78</v>
      </c>
      <c r="AV171" s="31">
        <f t="shared" ca="1" si="59"/>
        <v>42376.365370833337</v>
      </c>
    </row>
    <row r="172" spans="1:48">
      <c r="A172" s="26">
        <v>7</v>
      </c>
      <c r="B172" s="26">
        <f>MONTH('Report Inputs'!$B$2)</f>
        <v>11</v>
      </c>
      <c r="C172" s="26">
        <f>YEAR('Report Inputs'!$B$2)</f>
        <v>2015</v>
      </c>
      <c r="D172" s="26">
        <v>66571</v>
      </c>
      <c r="F172" s="26" t="s">
        <v>65</v>
      </c>
      <c r="G172" s="26" t="s">
        <v>66</v>
      </c>
      <c r="H172" s="26" t="s">
        <v>67</v>
      </c>
      <c r="I172" s="26" t="s">
        <v>68</v>
      </c>
      <c r="J172" s="26" t="s">
        <v>69</v>
      </c>
      <c r="K172" s="26">
        <v>713</v>
      </c>
      <c r="L172" s="26" t="s">
        <v>70</v>
      </c>
      <c r="M172" s="26">
        <v>713</v>
      </c>
      <c r="N172" s="26" t="s">
        <v>71</v>
      </c>
      <c r="O172" s="26" t="s">
        <v>72</v>
      </c>
      <c r="P172" s="26">
        <v>45</v>
      </c>
      <c r="Q172" s="27">
        <v>15262</v>
      </c>
      <c r="R172" s="26">
        <v>0</v>
      </c>
      <c r="S172" s="26" t="s">
        <v>263</v>
      </c>
      <c r="T172" s="26" t="s">
        <v>83</v>
      </c>
      <c r="U172" s="26" t="str">
        <f t="shared" si="62"/>
        <v>PR</v>
      </c>
      <c r="V172" s="26">
        <f t="shared" si="63"/>
        <v>30</v>
      </c>
      <c r="W172" s="26" t="s">
        <v>73</v>
      </c>
      <c r="X172" s="26">
        <v>17</v>
      </c>
      <c r="Y172" s="26" t="s">
        <v>74</v>
      </c>
      <c r="Z172" s="26" t="s">
        <v>75</v>
      </c>
      <c r="AA172" s="28">
        <f t="shared" si="73"/>
        <v>0.64</v>
      </c>
      <c r="AB172" s="28">
        <f t="shared" si="74"/>
        <v>7.327</v>
      </c>
      <c r="AC172" s="28">
        <f t="shared" si="75"/>
        <v>7.5350000000000001</v>
      </c>
      <c r="AD172" s="28">
        <f t="shared" si="76"/>
        <v>0</v>
      </c>
      <c r="AE172" s="28">
        <f t="shared" si="77"/>
        <v>0.432</v>
      </c>
      <c r="AF172" s="28">
        <f t="shared" si="68"/>
        <v>3467.87</v>
      </c>
      <c r="AG172" s="28">
        <f t="shared" si="69"/>
        <v>1.37</v>
      </c>
      <c r="AH172" s="28">
        <v>259</v>
      </c>
      <c r="AI172" s="28">
        <f t="shared" si="60"/>
        <v>0</v>
      </c>
      <c r="AJ172" s="28">
        <f t="shared" si="71"/>
        <v>3208.06</v>
      </c>
      <c r="AK172" s="30">
        <f>'Report Inputs'!$F$2</f>
        <v>55.9</v>
      </c>
      <c r="AL172" s="28">
        <f>'Report Inputs'!$E$2</f>
        <v>1080</v>
      </c>
      <c r="AM172" s="28">
        <f t="shared" si="72"/>
        <v>99.635000000000005</v>
      </c>
      <c r="AN172" s="26" t="s">
        <v>744</v>
      </c>
      <c r="AS172" s="26" t="s">
        <v>76</v>
      </c>
      <c r="AT172" s="26" t="s">
        <v>77</v>
      </c>
      <c r="AU172" s="26" t="s">
        <v>78</v>
      </c>
      <c r="AV172" s="31">
        <f t="shared" ca="1" si="59"/>
        <v>42376.365370833337</v>
      </c>
    </row>
    <row r="173" spans="1:48">
      <c r="A173" s="26">
        <v>7</v>
      </c>
      <c r="B173" s="26">
        <f>MONTH('Report Inputs'!$B$2)</f>
        <v>11</v>
      </c>
      <c r="C173" s="26">
        <f>YEAR('Report Inputs'!$B$2)</f>
        <v>2015</v>
      </c>
      <c r="D173" s="26">
        <v>66571</v>
      </c>
      <c r="F173" s="26" t="s">
        <v>65</v>
      </c>
      <c r="G173" s="26" t="s">
        <v>66</v>
      </c>
      <c r="H173" s="26" t="s">
        <v>67</v>
      </c>
      <c r="I173" s="26" t="s">
        <v>68</v>
      </c>
      <c r="J173" s="26" t="s">
        <v>69</v>
      </c>
      <c r="K173" s="26">
        <v>713</v>
      </c>
      <c r="L173" s="26" t="s">
        <v>70</v>
      </c>
      <c r="M173" s="26">
        <v>713</v>
      </c>
      <c r="N173" s="26" t="s">
        <v>71</v>
      </c>
      <c r="O173" s="26" t="s">
        <v>72</v>
      </c>
      <c r="P173" s="26">
        <v>45</v>
      </c>
      <c r="Q173" s="27">
        <v>15263</v>
      </c>
      <c r="R173" s="26">
        <v>0</v>
      </c>
      <c r="S173" s="26" t="s">
        <v>652</v>
      </c>
      <c r="T173" s="26" t="s">
        <v>83</v>
      </c>
      <c r="U173" s="26" t="str">
        <f t="shared" si="62"/>
        <v>PR</v>
      </c>
      <c r="V173" s="26">
        <f t="shared" si="63"/>
        <v>30</v>
      </c>
      <c r="W173" s="26" t="s">
        <v>73</v>
      </c>
      <c r="X173" s="26">
        <v>17</v>
      </c>
      <c r="Y173" s="26" t="s">
        <v>74</v>
      </c>
      <c r="Z173" s="26" t="s">
        <v>75</v>
      </c>
      <c r="AA173" s="28">
        <f t="shared" si="73"/>
        <v>0.9</v>
      </c>
      <c r="AB173" s="28">
        <f t="shared" si="74"/>
        <v>10.323</v>
      </c>
      <c r="AC173" s="28">
        <f t="shared" si="75"/>
        <v>10.616</v>
      </c>
      <c r="AD173" s="28">
        <f t="shared" si="76"/>
        <v>1</v>
      </c>
      <c r="AE173" s="28">
        <f t="shared" si="77"/>
        <v>0.60699999999999998</v>
      </c>
      <c r="AF173" s="28">
        <f t="shared" si="68"/>
        <v>5008.1099999999997</v>
      </c>
      <c r="AG173" s="28">
        <f t="shared" si="69"/>
        <v>1.94</v>
      </c>
      <c r="AH173" s="28">
        <f t="shared" si="70"/>
        <v>487.08699999999999</v>
      </c>
      <c r="AI173" s="28">
        <f t="shared" si="60"/>
        <v>0</v>
      </c>
      <c r="AJ173" s="28">
        <f t="shared" si="71"/>
        <v>4519.0829999999996</v>
      </c>
      <c r="AK173" s="30">
        <f>'Report Inputs'!$F$2</f>
        <v>55.9</v>
      </c>
      <c r="AL173" s="28">
        <f>'Report Inputs'!$E$2</f>
        <v>1080</v>
      </c>
      <c r="AM173" s="28">
        <f t="shared" si="72"/>
        <v>1.337</v>
      </c>
      <c r="AN173" s="26" t="s">
        <v>744</v>
      </c>
      <c r="AS173" s="26" t="s">
        <v>76</v>
      </c>
      <c r="AT173" s="26" t="s">
        <v>77</v>
      </c>
      <c r="AU173" s="26" t="s">
        <v>78</v>
      </c>
      <c r="AV173" s="31">
        <f t="shared" ca="1" si="59"/>
        <v>42376.365370833337</v>
      </c>
    </row>
    <row r="174" spans="1:48">
      <c r="A174" s="26">
        <v>7</v>
      </c>
      <c r="B174" s="26">
        <f>MONTH('Report Inputs'!$B$2)</f>
        <v>11</v>
      </c>
      <c r="C174" s="26">
        <f>YEAR('Report Inputs'!$B$2)</f>
        <v>2015</v>
      </c>
      <c r="D174" s="26">
        <v>66571</v>
      </c>
      <c r="F174" s="26" t="s">
        <v>65</v>
      </c>
      <c r="G174" s="26" t="s">
        <v>66</v>
      </c>
      <c r="H174" s="26" t="s">
        <v>67</v>
      </c>
      <c r="I174" s="26" t="s">
        <v>68</v>
      </c>
      <c r="J174" s="26" t="s">
        <v>69</v>
      </c>
      <c r="K174" s="26">
        <v>713</v>
      </c>
      <c r="L174" s="26" t="s">
        <v>70</v>
      </c>
      <c r="M174" s="26">
        <v>713</v>
      </c>
      <c r="N174" s="26" t="s">
        <v>71</v>
      </c>
      <c r="O174" s="26" t="s">
        <v>72</v>
      </c>
      <c r="P174" s="26">
        <v>45</v>
      </c>
      <c r="Q174" s="27">
        <v>15313</v>
      </c>
      <c r="R174" s="26">
        <v>0</v>
      </c>
      <c r="S174" s="26" t="s">
        <v>272</v>
      </c>
      <c r="T174" s="26" t="s">
        <v>83</v>
      </c>
      <c r="U174" s="26" t="str">
        <f t="shared" si="62"/>
        <v>PR</v>
      </c>
      <c r="V174" s="26">
        <f t="shared" si="63"/>
        <v>30</v>
      </c>
      <c r="W174" s="26" t="s">
        <v>73</v>
      </c>
      <c r="X174" s="26">
        <v>17</v>
      </c>
      <c r="Y174" s="26" t="s">
        <v>74</v>
      </c>
      <c r="Z174" s="26" t="s">
        <v>75</v>
      </c>
      <c r="AA174" s="28">
        <f t="shared" si="73"/>
        <v>0.39400000000000002</v>
      </c>
      <c r="AB174" s="28">
        <f t="shared" si="74"/>
        <v>4.2990000000000004</v>
      </c>
      <c r="AC174" s="28">
        <f t="shared" si="75"/>
        <v>4.4400000000000004</v>
      </c>
      <c r="AD174" s="28">
        <f t="shared" si="76"/>
        <v>0</v>
      </c>
      <c r="AE174" s="28">
        <f t="shared" si="77"/>
        <v>0.253</v>
      </c>
      <c r="AF174" s="28">
        <f t="shared" si="68"/>
        <v>2109.64</v>
      </c>
      <c r="AG174" s="28">
        <f t="shared" si="69"/>
        <v>0.81</v>
      </c>
      <c r="AH174" s="28">
        <f t="shared" si="70"/>
        <v>226.62</v>
      </c>
      <c r="AI174" s="28">
        <f t="shared" si="60"/>
        <v>0</v>
      </c>
      <c r="AJ174" s="28">
        <f t="shared" si="71"/>
        <v>1882.21</v>
      </c>
      <c r="AK174" s="30">
        <f>'Report Inputs'!$F$2</f>
        <v>55.9</v>
      </c>
      <c r="AL174" s="28">
        <f>'Report Inputs'!$E$2</f>
        <v>1080</v>
      </c>
      <c r="AM174" s="28">
        <f t="shared" si="72"/>
        <v>58.457999999999998</v>
      </c>
      <c r="AN174" s="26" t="s">
        <v>744</v>
      </c>
      <c r="AS174" s="26" t="s">
        <v>76</v>
      </c>
      <c r="AT174" s="26" t="s">
        <v>77</v>
      </c>
      <c r="AU174" s="26" t="s">
        <v>78</v>
      </c>
      <c r="AV174" s="31">
        <f t="shared" ca="1" si="59"/>
        <v>42376.365370833337</v>
      </c>
    </row>
    <row r="175" spans="1:48">
      <c r="A175" s="26">
        <v>7</v>
      </c>
      <c r="B175" s="26">
        <f>MONTH('Report Inputs'!$B$2)</f>
        <v>11</v>
      </c>
      <c r="C175" s="26">
        <f>YEAR('Report Inputs'!$B$2)</f>
        <v>2015</v>
      </c>
      <c r="D175" s="26">
        <v>66571</v>
      </c>
      <c r="F175" s="26" t="s">
        <v>65</v>
      </c>
      <c r="G175" s="26" t="s">
        <v>66</v>
      </c>
      <c r="H175" s="26" t="s">
        <v>67</v>
      </c>
      <c r="I175" s="26" t="s">
        <v>68</v>
      </c>
      <c r="J175" s="26" t="s">
        <v>69</v>
      </c>
      <c r="K175" s="26">
        <v>713</v>
      </c>
      <c r="L175" s="26" t="s">
        <v>70</v>
      </c>
      <c r="M175" s="26">
        <v>713</v>
      </c>
      <c r="N175" s="26" t="s">
        <v>71</v>
      </c>
      <c r="O175" s="26" t="s">
        <v>72</v>
      </c>
      <c r="P175" s="26">
        <v>45</v>
      </c>
      <c r="Q175" s="27">
        <v>15314</v>
      </c>
      <c r="R175" s="26">
        <v>0</v>
      </c>
      <c r="S175" s="26" t="s">
        <v>271</v>
      </c>
      <c r="T175" s="26" t="s">
        <v>80</v>
      </c>
      <c r="U175" s="26" t="str">
        <f t="shared" si="62"/>
        <v>PR</v>
      </c>
      <c r="V175" s="26">
        <f t="shared" si="63"/>
        <v>30</v>
      </c>
      <c r="W175" s="26" t="s">
        <v>73</v>
      </c>
      <c r="X175" s="26">
        <v>17</v>
      </c>
      <c r="Y175" s="26" t="s">
        <v>74</v>
      </c>
      <c r="Z175" s="26" t="s">
        <v>75</v>
      </c>
      <c r="AA175" s="28">
        <f t="shared" si="73"/>
        <v>0.60199999999999998</v>
      </c>
      <c r="AB175" s="28">
        <f t="shared" si="74"/>
        <v>6.6959999999999997</v>
      </c>
      <c r="AC175" s="28">
        <f t="shared" si="75"/>
        <v>6.9029999999999996</v>
      </c>
      <c r="AD175" s="28">
        <f t="shared" si="76"/>
        <v>-1</v>
      </c>
      <c r="AE175" s="28">
        <f t="shared" si="77"/>
        <v>0.39500000000000002</v>
      </c>
      <c r="AF175" s="28">
        <f t="shared" si="68"/>
        <v>3206.79</v>
      </c>
      <c r="AG175" s="28">
        <f t="shared" si="69"/>
        <v>1.26</v>
      </c>
      <c r="AH175" s="28">
        <v>275</v>
      </c>
      <c r="AI175" s="28">
        <f t="shared" si="60"/>
        <v>0</v>
      </c>
      <c r="AJ175" s="28">
        <f t="shared" si="71"/>
        <v>2931.3150000000001</v>
      </c>
      <c r="AK175" s="30">
        <f>'Report Inputs'!$F$2</f>
        <v>55.9</v>
      </c>
      <c r="AL175" s="28">
        <f>'Report Inputs'!$E$2</f>
        <v>1080</v>
      </c>
      <c r="AM175" s="28">
        <f t="shared" ref="AM175:AM199" si="78">IF(ISNA(VLOOKUP($Q175,data,14,FALSE)),0,VLOOKUP($Q175,data,14,FALSE))</f>
        <v>91.04</v>
      </c>
      <c r="AN175" s="26" t="s">
        <v>744</v>
      </c>
      <c r="AS175" s="26" t="s">
        <v>76</v>
      </c>
      <c r="AT175" s="26" t="s">
        <v>77</v>
      </c>
      <c r="AU175" s="26" t="s">
        <v>78</v>
      </c>
      <c r="AV175" s="31">
        <f t="shared" ca="1" si="59"/>
        <v>42376.365370833337</v>
      </c>
    </row>
    <row r="176" spans="1:48">
      <c r="A176" s="26">
        <v>7</v>
      </c>
      <c r="B176" s="26">
        <f>MONTH('Report Inputs'!$B$2)</f>
        <v>11</v>
      </c>
      <c r="C176" s="26">
        <f>YEAR('Report Inputs'!$B$2)</f>
        <v>2015</v>
      </c>
      <c r="D176" s="26">
        <v>66571</v>
      </c>
      <c r="F176" s="26" t="s">
        <v>65</v>
      </c>
      <c r="G176" s="26" t="s">
        <v>66</v>
      </c>
      <c r="H176" s="26" t="s">
        <v>67</v>
      </c>
      <c r="I176" s="26" t="s">
        <v>68</v>
      </c>
      <c r="J176" s="26" t="s">
        <v>69</v>
      </c>
      <c r="K176" s="26">
        <v>713</v>
      </c>
      <c r="L176" s="26" t="s">
        <v>70</v>
      </c>
      <c r="M176" s="26">
        <v>713</v>
      </c>
      <c r="N176" s="26" t="s">
        <v>71</v>
      </c>
      <c r="O176" s="26" t="s">
        <v>72</v>
      </c>
      <c r="P176" s="26">
        <v>45</v>
      </c>
      <c r="Q176" s="27">
        <v>15315</v>
      </c>
      <c r="R176" s="26">
        <v>0</v>
      </c>
      <c r="S176" s="26" t="s">
        <v>266</v>
      </c>
      <c r="T176" s="26" t="s">
        <v>80</v>
      </c>
      <c r="U176" s="26" t="str">
        <f t="shared" si="62"/>
        <v>PR</v>
      </c>
      <c r="V176" s="26">
        <f t="shared" si="63"/>
        <v>30</v>
      </c>
      <c r="W176" s="26" t="s">
        <v>73</v>
      </c>
      <c r="X176" s="26">
        <v>17</v>
      </c>
      <c r="Y176" s="26" t="s">
        <v>74</v>
      </c>
      <c r="Z176" s="26" t="s">
        <v>75</v>
      </c>
      <c r="AA176" s="28">
        <f t="shared" si="73"/>
        <v>0.47499999999999998</v>
      </c>
      <c r="AB176" s="28">
        <f t="shared" si="74"/>
        <v>5.3929999999999998</v>
      </c>
      <c r="AC176" s="28">
        <f t="shared" si="75"/>
        <v>5.5519999999999996</v>
      </c>
      <c r="AD176" s="28">
        <f t="shared" si="76"/>
        <v>1</v>
      </c>
      <c r="AE176" s="28">
        <f t="shared" si="77"/>
        <v>0.316</v>
      </c>
      <c r="AF176" s="28">
        <f t="shared" si="68"/>
        <v>2582.21</v>
      </c>
      <c r="AG176" s="28">
        <f t="shared" si="69"/>
        <v>1.01</v>
      </c>
      <c r="AH176" s="28">
        <f t="shared" si="70"/>
        <v>220.01900000000001</v>
      </c>
      <c r="AI176" s="28">
        <f t="shared" si="60"/>
        <v>0</v>
      </c>
      <c r="AJ176" s="28">
        <f t="shared" si="71"/>
        <v>2361.181</v>
      </c>
      <c r="AK176" s="30">
        <f>'Report Inputs'!$F$2</f>
        <v>55.9</v>
      </c>
      <c r="AL176" s="28">
        <f>'Report Inputs'!$E$2</f>
        <v>1080</v>
      </c>
      <c r="AM176" s="28">
        <f t="shared" si="78"/>
        <v>73.334000000000003</v>
      </c>
      <c r="AN176" s="26" t="s">
        <v>744</v>
      </c>
      <c r="AS176" s="26" t="s">
        <v>76</v>
      </c>
      <c r="AT176" s="26" t="s">
        <v>77</v>
      </c>
      <c r="AU176" s="26" t="s">
        <v>78</v>
      </c>
      <c r="AV176" s="31">
        <f t="shared" ca="1" si="59"/>
        <v>42376.365370833337</v>
      </c>
    </row>
    <row r="177" spans="1:48">
      <c r="A177" s="26">
        <v>7</v>
      </c>
      <c r="B177" s="26">
        <f>MONTH('Report Inputs'!$B$2)</f>
        <v>11</v>
      </c>
      <c r="C177" s="26">
        <f>YEAR('Report Inputs'!$B$2)</f>
        <v>2015</v>
      </c>
      <c r="D177" s="26">
        <v>66571</v>
      </c>
      <c r="F177" s="26" t="s">
        <v>65</v>
      </c>
      <c r="G177" s="26" t="s">
        <v>66</v>
      </c>
      <c r="H177" s="26" t="s">
        <v>67</v>
      </c>
      <c r="I177" s="26" t="s">
        <v>68</v>
      </c>
      <c r="J177" s="26" t="s">
        <v>69</v>
      </c>
      <c r="K177" s="26">
        <v>713</v>
      </c>
      <c r="L177" s="26" t="s">
        <v>70</v>
      </c>
      <c r="M177" s="26">
        <v>713</v>
      </c>
      <c r="N177" s="26" t="s">
        <v>71</v>
      </c>
      <c r="O177" s="26" t="s">
        <v>72</v>
      </c>
      <c r="P177" s="26">
        <v>45</v>
      </c>
      <c r="Q177" s="27">
        <v>15357</v>
      </c>
      <c r="R177" s="26">
        <v>0</v>
      </c>
      <c r="S177" s="26" t="s">
        <v>285</v>
      </c>
      <c r="T177" s="26" t="s">
        <v>80</v>
      </c>
      <c r="U177" s="26" t="str">
        <f t="shared" si="62"/>
        <v>PR</v>
      </c>
      <c r="V177" s="26">
        <f t="shared" si="63"/>
        <v>30</v>
      </c>
      <c r="W177" s="26" t="s">
        <v>107</v>
      </c>
      <c r="X177" s="26">
        <v>16</v>
      </c>
      <c r="Y177" s="26" t="s">
        <v>74</v>
      </c>
      <c r="Z177" s="26" t="s">
        <v>75</v>
      </c>
      <c r="AA177" s="28">
        <f t="shared" si="73"/>
        <v>0.28999999999999998</v>
      </c>
      <c r="AB177" s="28">
        <f t="shared" si="74"/>
        <v>4.1130000000000004</v>
      </c>
      <c r="AC177" s="28">
        <f t="shared" si="75"/>
        <v>4.1139999999999999</v>
      </c>
      <c r="AD177" s="28">
        <f t="shared" si="76"/>
        <v>0</v>
      </c>
      <c r="AE177" s="28">
        <f t="shared" si="77"/>
        <v>0.28899999999999998</v>
      </c>
      <c r="AF177" s="28">
        <f t="shared" si="68"/>
        <v>3107.51</v>
      </c>
      <c r="AG177" s="28">
        <f t="shared" si="69"/>
        <v>0.74</v>
      </c>
      <c r="AH177" s="28">
        <f t="shared" si="70"/>
        <v>404.65699999999998</v>
      </c>
      <c r="AI177" s="28">
        <f t="shared" si="60"/>
        <v>0</v>
      </c>
      <c r="AJ177" s="28">
        <f t="shared" si="71"/>
        <v>2702.1129999999998</v>
      </c>
      <c r="AK177" s="30">
        <f>'Report Inputs'!$F$2</f>
        <v>55.9</v>
      </c>
      <c r="AL177" s="28">
        <f>'Report Inputs'!$E$2</f>
        <v>1080</v>
      </c>
      <c r="AM177" s="28">
        <f t="shared" si="78"/>
        <v>32.755000000000003</v>
      </c>
      <c r="AN177" s="26" t="s">
        <v>744</v>
      </c>
      <c r="AS177" s="26" t="s">
        <v>76</v>
      </c>
      <c r="AT177" s="26" t="s">
        <v>77</v>
      </c>
      <c r="AU177" s="26" t="s">
        <v>78</v>
      </c>
      <c r="AV177" s="31">
        <f t="shared" ca="1" si="59"/>
        <v>42376.365370833337</v>
      </c>
    </row>
    <row r="178" spans="1:48">
      <c r="A178" s="26">
        <v>7</v>
      </c>
      <c r="B178" s="26">
        <f>MONTH('Report Inputs'!$B$2)</f>
        <v>11</v>
      </c>
      <c r="C178" s="26">
        <f>YEAR('Report Inputs'!$B$2)</f>
        <v>2015</v>
      </c>
      <c r="D178" s="26">
        <v>66571</v>
      </c>
      <c r="F178" s="26" t="s">
        <v>65</v>
      </c>
      <c r="G178" s="26" t="s">
        <v>66</v>
      </c>
      <c r="H178" s="26" t="s">
        <v>67</v>
      </c>
      <c r="I178" s="26" t="s">
        <v>68</v>
      </c>
      <c r="J178" s="26" t="s">
        <v>69</v>
      </c>
      <c r="K178" s="26">
        <v>713</v>
      </c>
      <c r="L178" s="26" t="s">
        <v>70</v>
      </c>
      <c r="M178" s="26">
        <v>713</v>
      </c>
      <c r="N178" s="26" t="s">
        <v>71</v>
      </c>
      <c r="O178" s="26" t="s">
        <v>72</v>
      </c>
      <c r="P178" s="26">
        <v>45</v>
      </c>
      <c r="Q178" s="27">
        <v>15358</v>
      </c>
      <c r="R178" s="26">
        <v>0</v>
      </c>
      <c r="S178" s="26" t="s">
        <v>295</v>
      </c>
      <c r="T178" s="26" t="s">
        <v>83</v>
      </c>
      <c r="U178" s="26" t="str">
        <f t="shared" si="62"/>
        <v>PR</v>
      </c>
      <c r="V178" s="26">
        <f t="shared" si="63"/>
        <v>30</v>
      </c>
      <c r="W178" s="26" t="s">
        <v>107</v>
      </c>
      <c r="X178" s="26">
        <v>16</v>
      </c>
      <c r="Y178" s="26" t="s">
        <v>74</v>
      </c>
      <c r="Z178" s="26" t="s">
        <v>75</v>
      </c>
      <c r="AA178" s="28">
        <f t="shared" si="73"/>
        <v>0.628</v>
      </c>
      <c r="AB178" s="28">
        <f t="shared" si="74"/>
        <v>8.6750000000000007</v>
      </c>
      <c r="AC178" s="28">
        <f t="shared" si="75"/>
        <v>8.69</v>
      </c>
      <c r="AD178" s="28">
        <f t="shared" si="76"/>
        <v>0</v>
      </c>
      <c r="AE178" s="28">
        <f t="shared" si="77"/>
        <v>0.61299999999999999</v>
      </c>
      <c r="AF178" s="28">
        <f t="shared" si="68"/>
        <v>6239.13</v>
      </c>
      <c r="AG178" s="28">
        <f t="shared" si="69"/>
        <v>1.56</v>
      </c>
      <c r="AH178" s="28">
        <v>540</v>
      </c>
      <c r="AI178" s="28">
        <f t="shared" si="60"/>
        <v>0</v>
      </c>
      <c r="AJ178" s="28">
        <f t="shared" si="71"/>
        <v>5697.0420000000004</v>
      </c>
      <c r="AK178" s="30">
        <f>'Report Inputs'!$F$2</f>
        <v>55.9</v>
      </c>
      <c r="AL178" s="28">
        <f>'Report Inputs'!$E$2</f>
        <v>1080</v>
      </c>
      <c r="AM178" s="28">
        <f t="shared" si="78"/>
        <v>69.057000000000002</v>
      </c>
      <c r="AN178" s="26" t="s">
        <v>744</v>
      </c>
      <c r="AS178" s="26" t="s">
        <v>76</v>
      </c>
      <c r="AT178" s="26" t="s">
        <v>77</v>
      </c>
      <c r="AU178" s="26" t="s">
        <v>78</v>
      </c>
      <c r="AV178" s="31">
        <f t="shared" ca="1" si="59"/>
        <v>42376.365370833337</v>
      </c>
    </row>
    <row r="179" spans="1:48">
      <c r="A179" s="26">
        <v>7</v>
      </c>
      <c r="B179" s="26">
        <f>MONTH('Report Inputs'!$B$2)</f>
        <v>11</v>
      </c>
      <c r="C179" s="26">
        <f>YEAR('Report Inputs'!$B$2)</f>
        <v>2015</v>
      </c>
      <c r="D179" s="26">
        <v>66571</v>
      </c>
      <c r="F179" s="26" t="s">
        <v>65</v>
      </c>
      <c r="G179" s="26" t="s">
        <v>66</v>
      </c>
      <c r="H179" s="26" t="s">
        <v>67</v>
      </c>
      <c r="I179" s="26" t="s">
        <v>68</v>
      </c>
      <c r="J179" s="26" t="s">
        <v>69</v>
      </c>
      <c r="K179" s="26">
        <v>713</v>
      </c>
      <c r="L179" s="26" t="s">
        <v>70</v>
      </c>
      <c r="M179" s="26">
        <v>713</v>
      </c>
      <c r="N179" s="26" t="s">
        <v>71</v>
      </c>
      <c r="O179" s="26" t="s">
        <v>72</v>
      </c>
      <c r="P179" s="26">
        <v>45</v>
      </c>
      <c r="Q179" s="27">
        <v>15359</v>
      </c>
      <c r="R179" s="26">
        <v>0</v>
      </c>
      <c r="S179" s="26" t="s">
        <v>292</v>
      </c>
      <c r="T179" s="26" t="s">
        <v>83</v>
      </c>
      <c r="U179" s="26" t="str">
        <f t="shared" si="62"/>
        <v>PR</v>
      </c>
      <c r="V179" s="26">
        <f t="shared" si="63"/>
        <v>30</v>
      </c>
      <c r="W179" s="26" t="s">
        <v>107</v>
      </c>
      <c r="X179" s="26">
        <v>16</v>
      </c>
      <c r="Y179" s="26" t="s">
        <v>74</v>
      </c>
      <c r="Z179" s="26" t="s">
        <v>75</v>
      </c>
      <c r="AA179" s="28">
        <f t="shared" si="73"/>
        <v>0.44</v>
      </c>
      <c r="AB179" s="28">
        <f t="shared" si="74"/>
        <v>6.085</v>
      </c>
      <c r="AC179" s="28">
        <f t="shared" si="75"/>
        <v>6.0960000000000001</v>
      </c>
      <c r="AD179" s="28">
        <f t="shared" si="76"/>
        <v>0</v>
      </c>
      <c r="AE179" s="28">
        <f t="shared" si="77"/>
        <v>0.42899999999999999</v>
      </c>
      <c r="AF179" s="28">
        <f t="shared" si="68"/>
        <v>4460.16</v>
      </c>
      <c r="AG179" s="28">
        <f t="shared" si="69"/>
        <v>1.0900000000000001</v>
      </c>
      <c r="AH179" s="28">
        <f t="shared" si="70"/>
        <v>463.34399999999999</v>
      </c>
      <c r="AI179" s="28">
        <f t="shared" si="60"/>
        <v>0</v>
      </c>
      <c r="AJ179" s="28">
        <f t="shared" si="71"/>
        <v>3995.7260000000001</v>
      </c>
      <c r="AK179" s="30">
        <f>'Report Inputs'!$F$2</f>
        <v>55.9</v>
      </c>
      <c r="AL179" s="28">
        <f>'Report Inputs'!$E$2</f>
        <v>1080</v>
      </c>
      <c r="AM179" s="28">
        <f t="shared" si="78"/>
        <v>48.435000000000002</v>
      </c>
      <c r="AN179" s="26" t="s">
        <v>744</v>
      </c>
      <c r="AS179" s="26" t="s">
        <v>76</v>
      </c>
      <c r="AT179" s="26" t="s">
        <v>77</v>
      </c>
      <c r="AU179" s="26" t="s">
        <v>78</v>
      </c>
      <c r="AV179" s="31">
        <f t="shared" ca="1" si="59"/>
        <v>42376.365370833337</v>
      </c>
    </row>
    <row r="180" spans="1:48">
      <c r="A180" s="26">
        <v>7</v>
      </c>
      <c r="B180" s="26">
        <f>MONTH('Report Inputs'!$B$2)</f>
        <v>11</v>
      </c>
      <c r="C180" s="26">
        <f>YEAR('Report Inputs'!$B$2)</f>
        <v>2015</v>
      </c>
      <c r="D180" s="26">
        <v>66571</v>
      </c>
      <c r="F180" s="26" t="s">
        <v>65</v>
      </c>
      <c r="G180" s="26" t="s">
        <v>66</v>
      </c>
      <c r="H180" s="26" t="s">
        <v>67</v>
      </c>
      <c r="I180" s="26" t="s">
        <v>68</v>
      </c>
      <c r="J180" s="26" t="s">
        <v>69</v>
      </c>
      <c r="K180" s="26">
        <v>713</v>
      </c>
      <c r="L180" s="26" t="s">
        <v>70</v>
      </c>
      <c r="M180" s="26">
        <v>713</v>
      </c>
      <c r="N180" s="26" t="s">
        <v>71</v>
      </c>
      <c r="O180" s="26" t="s">
        <v>72</v>
      </c>
      <c r="P180" s="26">
        <v>45</v>
      </c>
      <c r="Q180" s="27">
        <v>15360</v>
      </c>
      <c r="R180" s="26">
        <v>0</v>
      </c>
      <c r="S180" s="26" t="s">
        <v>291</v>
      </c>
      <c r="T180" s="26" t="s">
        <v>83</v>
      </c>
      <c r="U180" s="26" t="str">
        <f t="shared" si="62"/>
        <v>PR</v>
      </c>
      <c r="V180" s="26">
        <f t="shared" si="63"/>
        <v>30</v>
      </c>
      <c r="W180" s="26" t="s">
        <v>107</v>
      </c>
      <c r="X180" s="26">
        <v>16</v>
      </c>
      <c r="Y180" s="26" t="s">
        <v>74</v>
      </c>
      <c r="Z180" s="26" t="s">
        <v>75</v>
      </c>
      <c r="AA180" s="28">
        <f t="shared" si="73"/>
        <v>0.29199999999999998</v>
      </c>
      <c r="AB180" s="28">
        <f t="shared" si="74"/>
        <v>3.8490000000000002</v>
      </c>
      <c r="AC180" s="28">
        <f t="shared" si="75"/>
        <v>3.867</v>
      </c>
      <c r="AD180" s="28">
        <f t="shared" si="76"/>
        <v>0</v>
      </c>
      <c r="AE180" s="28">
        <f t="shared" si="77"/>
        <v>0.27400000000000002</v>
      </c>
      <c r="AF180" s="28">
        <f t="shared" si="68"/>
        <v>2855.36</v>
      </c>
      <c r="AG180" s="28">
        <v>0</v>
      </c>
      <c r="AH180" s="28">
        <f t="shared" si="70"/>
        <v>326.75299999999999</v>
      </c>
      <c r="AI180" s="28">
        <f t="shared" si="60"/>
        <v>0</v>
      </c>
      <c r="AJ180" s="28">
        <f t="shared" si="71"/>
        <v>2527.9169999999999</v>
      </c>
      <c r="AK180" s="30">
        <f>'Report Inputs'!$F$2</f>
        <v>55.9</v>
      </c>
      <c r="AL180" s="28">
        <f>'Report Inputs'!$E$2</f>
        <v>1080</v>
      </c>
      <c r="AM180" s="28">
        <f t="shared" si="78"/>
        <v>30.641999999999999</v>
      </c>
      <c r="AN180" s="26" t="s">
        <v>744</v>
      </c>
      <c r="AS180" s="26" t="s">
        <v>76</v>
      </c>
      <c r="AT180" s="26" t="s">
        <v>77</v>
      </c>
      <c r="AU180" s="26" t="s">
        <v>78</v>
      </c>
      <c r="AV180" s="31">
        <f t="shared" ca="1" si="59"/>
        <v>42376.365370833337</v>
      </c>
    </row>
    <row r="181" spans="1:48">
      <c r="A181" s="26">
        <v>7</v>
      </c>
      <c r="B181" s="26">
        <f>MONTH('Report Inputs'!$B$2)</f>
        <v>11</v>
      </c>
      <c r="C181" s="26">
        <f>YEAR('Report Inputs'!$B$2)</f>
        <v>2015</v>
      </c>
      <c r="D181" s="26">
        <v>66571</v>
      </c>
      <c r="F181" s="26" t="s">
        <v>65</v>
      </c>
      <c r="G181" s="26" t="s">
        <v>66</v>
      </c>
      <c r="H181" s="26" t="s">
        <v>67</v>
      </c>
      <c r="I181" s="26" t="s">
        <v>68</v>
      </c>
      <c r="J181" s="26" t="s">
        <v>69</v>
      </c>
      <c r="K181" s="26">
        <v>713</v>
      </c>
      <c r="L181" s="26" t="s">
        <v>70</v>
      </c>
      <c r="M181" s="26">
        <v>713</v>
      </c>
      <c r="N181" s="26" t="s">
        <v>71</v>
      </c>
      <c r="O181" s="26" t="s">
        <v>72</v>
      </c>
      <c r="P181" s="26">
        <v>45</v>
      </c>
      <c r="Q181" s="27">
        <v>15399</v>
      </c>
      <c r="R181" s="26">
        <v>0</v>
      </c>
      <c r="S181" s="26" t="s">
        <v>270</v>
      </c>
      <c r="T181" s="26" t="s">
        <v>80</v>
      </c>
      <c r="U181" s="26" t="str">
        <f t="shared" si="62"/>
        <v>PR</v>
      </c>
      <c r="V181" s="26">
        <f t="shared" si="63"/>
        <v>30</v>
      </c>
      <c r="W181" s="26" t="s">
        <v>73</v>
      </c>
      <c r="X181" s="26">
        <v>17</v>
      </c>
      <c r="Y181" s="26" t="s">
        <v>74</v>
      </c>
      <c r="Z181" s="26" t="s">
        <v>75</v>
      </c>
      <c r="AA181" s="28">
        <f t="shared" si="73"/>
        <v>0.65</v>
      </c>
      <c r="AB181" s="28">
        <f t="shared" si="74"/>
        <v>7.26</v>
      </c>
      <c r="AC181" s="28">
        <f t="shared" si="75"/>
        <v>7.4820000000000002</v>
      </c>
      <c r="AD181" s="28">
        <f t="shared" si="76"/>
        <v>-1</v>
      </c>
      <c r="AE181" s="28">
        <f t="shared" si="77"/>
        <v>0.42799999999999999</v>
      </c>
      <c r="AF181" s="28">
        <f t="shared" si="68"/>
        <v>3465.29</v>
      </c>
      <c r="AG181" s="28">
        <f t="shared" si="69"/>
        <v>1.36</v>
      </c>
      <c r="AH181" s="28">
        <f t="shared" si="70"/>
        <v>285.42899999999997</v>
      </c>
      <c r="AI181" s="28">
        <f t="shared" si="60"/>
        <v>0</v>
      </c>
      <c r="AJ181" s="28">
        <f t="shared" si="71"/>
        <v>3178.5010000000002</v>
      </c>
      <c r="AK181" s="30">
        <f>'Report Inputs'!$F$2</f>
        <v>55.9</v>
      </c>
      <c r="AL181" s="28">
        <f>'Report Inputs'!$E$2</f>
        <v>1080</v>
      </c>
      <c r="AM181" s="28">
        <f t="shared" si="78"/>
        <v>98.716999999999999</v>
      </c>
      <c r="AN181" s="26" t="s">
        <v>744</v>
      </c>
      <c r="AS181" s="26" t="s">
        <v>76</v>
      </c>
      <c r="AT181" s="26" t="s">
        <v>77</v>
      </c>
      <c r="AU181" s="26" t="s">
        <v>78</v>
      </c>
      <c r="AV181" s="31">
        <f t="shared" ca="1" si="59"/>
        <v>42376.365370833337</v>
      </c>
    </row>
    <row r="182" spans="1:48">
      <c r="A182" s="26">
        <v>7</v>
      </c>
      <c r="B182" s="26">
        <f>MONTH('Report Inputs'!$B$2)</f>
        <v>11</v>
      </c>
      <c r="C182" s="26">
        <f>YEAR('Report Inputs'!$B$2)</f>
        <v>2015</v>
      </c>
      <c r="D182" s="26">
        <v>66571</v>
      </c>
      <c r="F182" s="26" t="s">
        <v>65</v>
      </c>
      <c r="G182" s="26" t="s">
        <v>66</v>
      </c>
      <c r="H182" s="26" t="s">
        <v>67</v>
      </c>
      <c r="I182" s="26" t="s">
        <v>68</v>
      </c>
      <c r="J182" s="26" t="s">
        <v>69</v>
      </c>
      <c r="K182" s="26">
        <v>713</v>
      </c>
      <c r="L182" s="26" t="s">
        <v>70</v>
      </c>
      <c r="M182" s="26">
        <v>713</v>
      </c>
      <c r="N182" s="26" t="s">
        <v>71</v>
      </c>
      <c r="O182" s="26" t="s">
        <v>72</v>
      </c>
      <c r="P182" s="26">
        <v>45</v>
      </c>
      <c r="Q182" s="27">
        <v>15447</v>
      </c>
      <c r="R182" s="26">
        <v>0</v>
      </c>
      <c r="S182" s="26" t="s">
        <v>764</v>
      </c>
      <c r="T182" s="26" t="s">
        <v>725</v>
      </c>
      <c r="U182" s="26" t="str">
        <f t="shared" si="62"/>
        <v>PR</v>
      </c>
      <c r="V182" s="26">
        <f t="shared" si="63"/>
        <v>30</v>
      </c>
      <c r="W182" s="26" t="s">
        <v>107</v>
      </c>
      <c r="X182" s="26">
        <v>16</v>
      </c>
      <c r="Y182" s="26" t="s">
        <v>74</v>
      </c>
      <c r="Z182" s="26" t="s">
        <v>75</v>
      </c>
      <c r="AA182" s="28">
        <f t="shared" si="73"/>
        <v>0.36699999999999999</v>
      </c>
      <c r="AB182" s="28">
        <f t="shared" si="74"/>
        <v>5.0679999999999996</v>
      </c>
      <c r="AC182" s="28">
        <f t="shared" si="75"/>
        <v>5.0780000000000003</v>
      </c>
      <c r="AD182" s="28">
        <f t="shared" si="76"/>
        <v>0</v>
      </c>
      <c r="AE182" s="28">
        <f t="shared" si="77"/>
        <v>0.35699999999999998</v>
      </c>
      <c r="AF182" s="28">
        <f t="shared" si="68"/>
        <v>3763.08</v>
      </c>
      <c r="AG182" s="28">
        <f t="shared" si="69"/>
        <v>0.91</v>
      </c>
      <c r="AH182" s="28">
        <f t="shared" si="70"/>
        <v>433.1</v>
      </c>
      <c r="AI182" s="28">
        <f t="shared" si="60"/>
        <v>0</v>
      </c>
      <c r="AJ182" s="28">
        <f t="shared" si="71"/>
        <v>3329.07</v>
      </c>
      <c r="AK182" s="30">
        <f>'Report Inputs'!$F$2</f>
        <v>55.9</v>
      </c>
      <c r="AL182" s="28">
        <f>'Report Inputs'!$E$2</f>
        <v>1080</v>
      </c>
      <c r="AM182" s="28">
        <f t="shared" si="78"/>
        <v>40.353999999999999</v>
      </c>
      <c r="AN182" s="26" t="s">
        <v>744</v>
      </c>
      <c r="AS182" s="26" t="s">
        <v>76</v>
      </c>
      <c r="AT182" s="26" t="s">
        <v>77</v>
      </c>
      <c r="AU182" s="26" t="s">
        <v>78</v>
      </c>
      <c r="AV182" s="31">
        <f t="shared" ca="1" si="59"/>
        <v>42376.365370833337</v>
      </c>
    </row>
    <row r="183" spans="1:48">
      <c r="A183" s="26">
        <v>7</v>
      </c>
      <c r="B183" s="26">
        <f>MONTH('Report Inputs'!$B$2)</f>
        <v>11</v>
      </c>
      <c r="C183" s="26">
        <f>YEAR('Report Inputs'!$B$2)</f>
        <v>2015</v>
      </c>
      <c r="D183" s="26">
        <v>66571</v>
      </c>
      <c r="F183" s="26" t="s">
        <v>65</v>
      </c>
      <c r="G183" s="26" t="s">
        <v>66</v>
      </c>
      <c r="H183" s="26" t="s">
        <v>67</v>
      </c>
      <c r="I183" s="26" t="s">
        <v>68</v>
      </c>
      <c r="J183" s="26" t="s">
        <v>69</v>
      </c>
      <c r="K183" s="26">
        <v>713</v>
      </c>
      <c r="L183" s="26" t="s">
        <v>70</v>
      </c>
      <c r="M183" s="26">
        <v>713</v>
      </c>
      <c r="N183" s="26" t="s">
        <v>71</v>
      </c>
      <c r="O183" s="26" t="s">
        <v>72</v>
      </c>
      <c r="P183" s="26">
        <v>45</v>
      </c>
      <c r="Q183" s="27">
        <v>15448</v>
      </c>
      <c r="R183" s="26">
        <v>0</v>
      </c>
      <c r="S183" s="26" t="s">
        <v>300</v>
      </c>
      <c r="T183" s="26" t="s">
        <v>80</v>
      </c>
      <c r="U183" s="26" t="str">
        <f t="shared" si="62"/>
        <v>PR</v>
      </c>
      <c r="V183" s="26">
        <f t="shared" si="63"/>
        <v>30</v>
      </c>
      <c r="W183" s="26" t="s">
        <v>107</v>
      </c>
      <c r="X183" s="26">
        <v>16</v>
      </c>
      <c r="Y183" s="26" t="s">
        <v>74</v>
      </c>
      <c r="Z183" s="26" t="s">
        <v>75</v>
      </c>
      <c r="AA183" s="28">
        <f t="shared" si="73"/>
        <v>0.85099999999999998</v>
      </c>
      <c r="AB183" s="28">
        <f t="shared" si="74"/>
        <v>11.731999999999999</v>
      </c>
      <c r="AC183" s="28">
        <f t="shared" si="75"/>
        <v>11.754</v>
      </c>
      <c r="AD183" s="28">
        <f t="shared" si="76"/>
        <v>0</v>
      </c>
      <c r="AE183" s="28">
        <f t="shared" si="77"/>
        <v>0.82899999999999996</v>
      </c>
      <c r="AF183" s="28">
        <f t="shared" si="68"/>
        <v>8343.0499999999993</v>
      </c>
      <c r="AG183" s="28">
        <f t="shared" si="69"/>
        <v>2.11</v>
      </c>
      <c r="AH183" s="28">
        <f t="shared" si="70"/>
        <v>635.12900000000002</v>
      </c>
      <c r="AI183" s="28">
        <f t="shared" si="60"/>
        <v>0</v>
      </c>
      <c r="AJ183" s="28">
        <f t="shared" si="71"/>
        <v>7705.8109999999997</v>
      </c>
      <c r="AK183" s="30">
        <f>'Report Inputs'!$F$2</f>
        <v>55.9</v>
      </c>
      <c r="AL183" s="28">
        <f>'Report Inputs'!$E$2</f>
        <v>1080</v>
      </c>
      <c r="AM183" s="28">
        <f t="shared" si="78"/>
        <v>93.406999999999996</v>
      </c>
      <c r="AN183" s="26" t="s">
        <v>744</v>
      </c>
      <c r="AS183" s="26" t="s">
        <v>76</v>
      </c>
      <c r="AT183" s="26" t="s">
        <v>77</v>
      </c>
      <c r="AU183" s="26" t="s">
        <v>78</v>
      </c>
      <c r="AV183" s="31">
        <f t="shared" ca="1" si="59"/>
        <v>42376.365370833337</v>
      </c>
    </row>
    <row r="184" spans="1:48">
      <c r="A184" s="26">
        <v>7</v>
      </c>
      <c r="B184" s="26">
        <f>MONTH('Report Inputs'!$B$2)</f>
        <v>11</v>
      </c>
      <c r="C184" s="26">
        <f>YEAR('Report Inputs'!$B$2)</f>
        <v>2015</v>
      </c>
      <c r="D184" s="26">
        <v>66571</v>
      </c>
      <c r="F184" s="26" t="s">
        <v>65</v>
      </c>
      <c r="G184" s="26" t="s">
        <v>66</v>
      </c>
      <c r="H184" s="26" t="s">
        <v>67</v>
      </c>
      <c r="I184" s="26" t="s">
        <v>68</v>
      </c>
      <c r="J184" s="26" t="s">
        <v>69</v>
      </c>
      <c r="K184" s="26">
        <v>713</v>
      </c>
      <c r="L184" s="26" t="s">
        <v>70</v>
      </c>
      <c r="M184" s="26">
        <v>713</v>
      </c>
      <c r="N184" s="26" t="s">
        <v>71</v>
      </c>
      <c r="O184" s="26" t="s">
        <v>72</v>
      </c>
      <c r="P184" s="26">
        <v>45</v>
      </c>
      <c r="Q184" s="27">
        <v>15449</v>
      </c>
      <c r="R184" s="26">
        <v>0</v>
      </c>
      <c r="S184" s="26" t="s">
        <v>297</v>
      </c>
      <c r="T184" s="26" t="s">
        <v>80</v>
      </c>
      <c r="U184" s="26" t="str">
        <f t="shared" si="62"/>
        <v>PR</v>
      </c>
      <c r="V184" s="26">
        <f t="shared" si="63"/>
        <v>30</v>
      </c>
      <c r="W184" s="26" t="s">
        <v>107</v>
      </c>
      <c r="X184" s="26">
        <v>16</v>
      </c>
      <c r="Y184" s="26" t="s">
        <v>74</v>
      </c>
      <c r="Z184" s="26" t="s">
        <v>75</v>
      </c>
      <c r="AA184" s="28">
        <f t="shared" si="73"/>
        <v>0.65500000000000003</v>
      </c>
      <c r="AB184" s="28">
        <f t="shared" si="74"/>
        <v>8.5419999999999998</v>
      </c>
      <c r="AC184" s="28">
        <f t="shared" si="75"/>
        <v>8.5909999999999993</v>
      </c>
      <c r="AD184" s="28">
        <f t="shared" si="76"/>
        <v>0</v>
      </c>
      <c r="AE184" s="28">
        <f t="shared" si="77"/>
        <v>0.60599999999999998</v>
      </c>
      <c r="AF184" s="28">
        <f t="shared" si="68"/>
        <v>6148.81</v>
      </c>
      <c r="AG184" s="28">
        <f t="shared" si="69"/>
        <v>1.54</v>
      </c>
      <c r="AH184" s="28">
        <v>536</v>
      </c>
      <c r="AI184" s="28">
        <f t="shared" si="60"/>
        <v>0</v>
      </c>
      <c r="AJ184" s="28">
        <f t="shared" si="71"/>
        <v>5610.6610000000001</v>
      </c>
      <c r="AK184" s="30">
        <f>'Report Inputs'!$F$2</f>
        <v>55.9</v>
      </c>
      <c r="AL184" s="28">
        <f>'Report Inputs'!$E$2</f>
        <v>1080</v>
      </c>
      <c r="AM184" s="28">
        <f t="shared" si="78"/>
        <v>68.010000000000005</v>
      </c>
      <c r="AN184" s="26" t="s">
        <v>744</v>
      </c>
      <c r="AS184" s="26" t="s">
        <v>76</v>
      </c>
      <c r="AT184" s="26" t="s">
        <v>77</v>
      </c>
      <c r="AU184" s="26" t="s">
        <v>78</v>
      </c>
      <c r="AV184" s="31">
        <f t="shared" ca="1" si="59"/>
        <v>42376.365370833337</v>
      </c>
    </row>
    <row r="185" spans="1:48">
      <c r="A185" s="26">
        <v>7</v>
      </c>
      <c r="B185" s="26">
        <f>MONTH('Report Inputs'!$B$2)</f>
        <v>11</v>
      </c>
      <c r="C185" s="26">
        <f>YEAR('Report Inputs'!$B$2)</f>
        <v>2015</v>
      </c>
      <c r="D185" s="26">
        <v>66571</v>
      </c>
      <c r="F185" s="26" t="s">
        <v>65</v>
      </c>
      <c r="G185" s="26" t="s">
        <v>66</v>
      </c>
      <c r="H185" s="26" t="s">
        <v>67</v>
      </c>
      <c r="I185" s="26" t="s">
        <v>68</v>
      </c>
      <c r="J185" s="26" t="s">
        <v>69</v>
      </c>
      <c r="K185" s="26">
        <v>713</v>
      </c>
      <c r="L185" s="26" t="s">
        <v>70</v>
      </c>
      <c r="M185" s="26">
        <v>713</v>
      </c>
      <c r="N185" s="26" t="s">
        <v>71</v>
      </c>
      <c r="O185" s="26" t="s">
        <v>72</v>
      </c>
      <c r="P185" s="26">
        <v>45</v>
      </c>
      <c r="Q185" s="27">
        <v>15450</v>
      </c>
      <c r="R185" s="26">
        <v>0</v>
      </c>
      <c r="S185" s="26" t="s">
        <v>283</v>
      </c>
      <c r="T185" s="26" t="s">
        <v>80</v>
      </c>
      <c r="U185" s="26" t="str">
        <f t="shared" si="62"/>
        <v>PR</v>
      </c>
      <c r="V185" s="26">
        <f t="shared" si="63"/>
        <v>30</v>
      </c>
      <c r="W185" s="26" t="s">
        <v>107</v>
      </c>
      <c r="X185" s="26">
        <v>16</v>
      </c>
      <c r="Y185" s="26" t="s">
        <v>74</v>
      </c>
      <c r="Z185" s="26" t="s">
        <v>75</v>
      </c>
      <c r="AA185" s="28">
        <f t="shared" si="73"/>
        <v>0.29299999999999998</v>
      </c>
      <c r="AB185" s="28">
        <f t="shared" si="74"/>
        <v>3.589</v>
      </c>
      <c r="AC185" s="28">
        <f t="shared" si="75"/>
        <v>3.625</v>
      </c>
      <c r="AD185" s="28">
        <f t="shared" si="76"/>
        <v>0</v>
      </c>
      <c r="AE185" s="28">
        <f t="shared" si="77"/>
        <v>0.25700000000000001</v>
      </c>
      <c r="AF185" s="28">
        <f t="shared" si="68"/>
        <v>2677.02</v>
      </c>
      <c r="AG185" s="28">
        <f t="shared" si="69"/>
        <v>0.65</v>
      </c>
      <c r="AH185" s="28">
        <f t="shared" si="70"/>
        <v>319.01600000000002</v>
      </c>
      <c r="AI185" s="28">
        <f t="shared" si="60"/>
        <v>0</v>
      </c>
      <c r="AJ185" s="28">
        <f t="shared" si="71"/>
        <v>2357.3539999999998</v>
      </c>
      <c r="AK185" s="30">
        <f>'Report Inputs'!$F$2</f>
        <v>55.9</v>
      </c>
      <c r="AL185" s="28">
        <f>'Report Inputs'!$E$2</f>
        <v>1080</v>
      </c>
      <c r="AM185" s="28">
        <f t="shared" si="78"/>
        <v>28.574999999999999</v>
      </c>
      <c r="AN185" s="26" t="s">
        <v>744</v>
      </c>
      <c r="AS185" s="26" t="s">
        <v>76</v>
      </c>
      <c r="AT185" s="26" t="s">
        <v>77</v>
      </c>
      <c r="AU185" s="26" t="s">
        <v>78</v>
      </c>
      <c r="AV185" s="31">
        <f t="shared" ca="1" si="59"/>
        <v>42376.365370833337</v>
      </c>
    </row>
    <row r="186" spans="1:48">
      <c r="A186" s="26">
        <v>7</v>
      </c>
      <c r="B186" s="26">
        <f>MONTH('Report Inputs'!$B$2)</f>
        <v>11</v>
      </c>
      <c r="C186" s="26">
        <f>YEAR('Report Inputs'!$B$2)</f>
        <v>2015</v>
      </c>
      <c r="D186" s="26">
        <v>66571</v>
      </c>
      <c r="F186" s="26" t="s">
        <v>65</v>
      </c>
      <c r="G186" s="26" t="s">
        <v>66</v>
      </c>
      <c r="H186" s="26" t="s">
        <v>67</v>
      </c>
      <c r="I186" s="26" t="s">
        <v>68</v>
      </c>
      <c r="J186" s="26" t="s">
        <v>69</v>
      </c>
      <c r="K186" s="26">
        <v>713</v>
      </c>
      <c r="L186" s="26" t="s">
        <v>70</v>
      </c>
      <c r="M186" s="26">
        <v>713</v>
      </c>
      <c r="N186" s="26" t="s">
        <v>71</v>
      </c>
      <c r="O186" s="26" t="s">
        <v>72</v>
      </c>
      <c r="P186" s="26">
        <v>45</v>
      </c>
      <c r="Q186" s="27">
        <v>15641</v>
      </c>
      <c r="R186" s="26">
        <v>0</v>
      </c>
      <c r="S186" s="26" t="s">
        <v>296</v>
      </c>
      <c r="T186" s="26" t="s">
        <v>83</v>
      </c>
      <c r="U186" s="26" t="str">
        <f t="shared" si="62"/>
        <v>PR</v>
      </c>
      <c r="V186" s="26">
        <f t="shared" si="63"/>
        <v>10</v>
      </c>
      <c r="W186" s="26" t="s">
        <v>107</v>
      </c>
      <c r="X186" s="26">
        <v>16</v>
      </c>
      <c r="Y186" s="26" t="s">
        <v>74</v>
      </c>
      <c r="Z186" s="26" t="s">
        <v>75</v>
      </c>
      <c r="AA186" s="28">
        <f t="shared" si="73"/>
        <v>4.3999999999999997E-2</v>
      </c>
      <c r="AB186" s="28">
        <f t="shared" si="74"/>
        <v>0.60899999999999999</v>
      </c>
      <c r="AC186" s="28">
        <f t="shared" si="75"/>
        <v>0.61</v>
      </c>
      <c r="AD186" s="28">
        <f t="shared" si="76"/>
        <v>0</v>
      </c>
      <c r="AE186" s="28">
        <f t="shared" si="77"/>
        <v>4.2999999999999997E-2</v>
      </c>
      <c r="AF186" s="28">
        <f t="shared" si="68"/>
        <v>700.18</v>
      </c>
      <c r="AG186" s="28">
        <f t="shared" si="69"/>
        <v>0.11</v>
      </c>
      <c r="AH186" s="28">
        <f t="shared" si="70"/>
        <v>300.20999999999998</v>
      </c>
      <c r="AI186" s="28">
        <f t="shared" si="60"/>
        <v>0</v>
      </c>
      <c r="AJ186" s="28">
        <f t="shared" si="71"/>
        <v>399.86</v>
      </c>
      <c r="AK186" s="30">
        <f>'Report Inputs'!$F$2</f>
        <v>55.9</v>
      </c>
      <c r="AL186" s="28">
        <f>'Report Inputs'!$E$2</f>
        <v>1080</v>
      </c>
      <c r="AM186" s="28">
        <f t="shared" si="78"/>
        <v>4.8470000000000004</v>
      </c>
      <c r="AN186" s="26" t="s">
        <v>744</v>
      </c>
      <c r="AS186" s="26" t="s">
        <v>76</v>
      </c>
      <c r="AT186" s="26" t="s">
        <v>77</v>
      </c>
      <c r="AU186" s="26" t="s">
        <v>78</v>
      </c>
      <c r="AV186" s="31">
        <f t="shared" ca="1" si="59"/>
        <v>42376.365370833337</v>
      </c>
    </row>
    <row r="187" spans="1:48">
      <c r="A187" s="26">
        <v>7</v>
      </c>
      <c r="B187" s="26">
        <f>MONTH('Report Inputs'!$B$2)</f>
        <v>11</v>
      </c>
      <c r="C187" s="26">
        <f>YEAR('Report Inputs'!$B$2)</f>
        <v>2015</v>
      </c>
      <c r="D187" s="26">
        <v>66571</v>
      </c>
      <c r="F187" s="26" t="s">
        <v>65</v>
      </c>
      <c r="G187" s="26" t="s">
        <v>66</v>
      </c>
      <c r="H187" s="26" t="s">
        <v>67</v>
      </c>
      <c r="I187" s="26" t="s">
        <v>68</v>
      </c>
      <c r="J187" s="26" t="s">
        <v>69</v>
      </c>
      <c r="K187" s="26">
        <v>713</v>
      </c>
      <c r="L187" s="26" t="s">
        <v>70</v>
      </c>
      <c r="M187" s="26">
        <v>713</v>
      </c>
      <c r="N187" s="26" t="s">
        <v>71</v>
      </c>
      <c r="O187" s="26" t="s">
        <v>72</v>
      </c>
      <c r="P187" s="26">
        <v>45</v>
      </c>
      <c r="Q187" s="27">
        <v>15642</v>
      </c>
      <c r="R187" s="26">
        <v>0</v>
      </c>
      <c r="S187" s="26" t="s">
        <v>298</v>
      </c>
      <c r="T187" s="26" t="s">
        <v>83</v>
      </c>
      <c r="U187" s="26" t="str">
        <f t="shared" si="62"/>
        <v>PR</v>
      </c>
      <c r="V187" s="26">
        <f t="shared" si="63"/>
        <v>30</v>
      </c>
      <c r="W187" s="26" t="s">
        <v>107</v>
      </c>
      <c r="X187" s="26">
        <v>16</v>
      </c>
      <c r="Y187" s="26" t="s">
        <v>74</v>
      </c>
      <c r="Z187" s="26" t="s">
        <v>75</v>
      </c>
      <c r="AA187" s="28">
        <f t="shared" si="73"/>
        <v>0.59099999999999997</v>
      </c>
      <c r="AB187" s="28">
        <f t="shared" si="74"/>
        <v>7.899</v>
      </c>
      <c r="AC187" s="28">
        <f t="shared" si="75"/>
        <v>7.931</v>
      </c>
      <c r="AD187" s="28">
        <f t="shared" si="76"/>
        <v>0</v>
      </c>
      <c r="AE187" s="28">
        <f t="shared" si="77"/>
        <v>0.55900000000000005</v>
      </c>
      <c r="AF187" s="28">
        <f t="shared" si="68"/>
        <v>5707.39</v>
      </c>
      <c r="AG187" s="28">
        <f t="shared" si="69"/>
        <v>1.42</v>
      </c>
      <c r="AH187" s="28">
        <f t="shared" si="70"/>
        <v>517.45699999999999</v>
      </c>
      <c r="AI187" s="28">
        <f t="shared" si="60"/>
        <v>0</v>
      </c>
      <c r="AJ187" s="28">
        <f t="shared" si="71"/>
        <v>5188.5129999999999</v>
      </c>
      <c r="AK187" s="30">
        <f>'Report Inputs'!$F$2</f>
        <v>55.9</v>
      </c>
      <c r="AL187" s="28">
        <f>'Report Inputs'!$E$2</f>
        <v>1080</v>
      </c>
      <c r="AM187" s="28">
        <f t="shared" si="78"/>
        <v>62.893000000000001</v>
      </c>
      <c r="AN187" s="26" t="s">
        <v>744</v>
      </c>
      <c r="AS187" s="26" t="s">
        <v>76</v>
      </c>
      <c r="AT187" s="26" t="s">
        <v>77</v>
      </c>
      <c r="AU187" s="26" t="s">
        <v>78</v>
      </c>
      <c r="AV187" s="31">
        <f t="shared" ca="1" si="59"/>
        <v>42376.365370833337</v>
      </c>
    </row>
    <row r="188" spans="1:48">
      <c r="A188" s="26">
        <v>7</v>
      </c>
      <c r="B188" s="26">
        <f>MONTH('Report Inputs'!$B$2)</f>
        <v>11</v>
      </c>
      <c r="C188" s="26">
        <f>YEAR('Report Inputs'!$B$2)</f>
        <v>2015</v>
      </c>
      <c r="D188" s="26">
        <v>66571</v>
      </c>
      <c r="F188" s="26" t="s">
        <v>65</v>
      </c>
      <c r="G188" s="26" t="s">
        <v>66</v>
      </c>
      <c r="H188" s="26" t="s">
        <v>67</v>
      </c>
      <c r="I188" s="26" t="s">
        <v>68</v>
      </c>
      <c r="J188" s="26" t="s">
        <v>69</v>
      </c>
      <c r="K188" s="26">
        <v>713</v>
      </c>
      <c r="L188" s="26" t="s">
        <v>70</v>
      </c>
      <c r="M188" s="26">
        <v>713</v>
      </c>
      <c r="N188" s="26" t="s">
        <v>71</v>
      </c>
      <c r="O188" s="26" t="s">
        <v>72</v>
      </c>
      <c r="P188" s="26">
        <v>45</v>
      </c>
      <c r="Q188" s="27">
        <v>15643</v>
      </c>
      <c r="R188" s="26">
        <v>0</v>
      </c>
      <c r="S188" s="26" t="s">
        <v>647</v>
      </c>
      <c r="T188" s="26" t="s">
        <v>83</v>
      </c>
      <c r="U188" s="26" t="str">
        <f t="shared" si="62"/>
        <v>PR</v>
      </c>
      <c r="V188" s="26">
        <f t="shared" si="63"/>
        <v>30</v>
      </c>
      <c r="W188" s="26" t="s">
        <v>107</v>
      </c>
      <c r="X188" s="26">
        <v>16</v>
      </c>
      <c r="Y188" s="26" t="s">
        <v>74</v>
      </c>
      <c r="Z188" s="26" t="s">
        <v>75</v>
      </c>
      <c r="AA188" s="28">
        <f t="shared" si="73"/>
        <v>0.41799999999999998</v>
      </c>
      <c r="AB188" s="28">
        <f t="shared" si="74"/>
        <v>5.867</v>
      </c>
      <c r="AC188" s="28">
        <f t="shared" si="75"/>
        <v>5.8719999999999999</v>
      </c>
      <c r="AD188" s="28">
        <f t="shared" si="76"/>
        <v>0</v>
      </c>
      <c r="AE188" s="28">
        <f t="shared" si="77"/>
        <v>0.41299999999999998</v>
      </c>
      <c r="AF188" s="28">
        <f t="shared" si="68"/>
        <v>4311.82</v>
      </c>
      <c r="AG188" s="28">
        <f t="shared" si="69"/>
        <v>1.05</v>
      </c>
      <c r="AH188" s="28">
        <f t="shared" si="70"/>
        <v>456.90800000000002</v>
      </c>
      <c r="AI188" s="28">
        <f t="shared" si="60"/>
        <v>0</v>
      </c>
      <c r="AJ188" s="28">
        <f t="shared" si="71"/>
        <v>3853.8620000000001</v>
      </c>
      <c r="AK188" s="30">
        <f>'Report Inputs'!$F$2</f>
        <v>55.9</v>
      </c>
      <c r="AL188" s="28">
        <f>'Report Inputs'!$E$2</f>
        <v>1080</v>
      </c>
      <c r="AM188" s="28">
        <f t="shared" si="78"/>
        <v>46.716000000000001</v>
      </c>
      <c r="AN188" s="26" t="s">
        <v>744</v>
      </c>
      <c r="AS188" s="26" t="s">
        <v>76</v>
      </c>
      <c r="AT188" s="26" t="s">
        <v>77</v>
      </c>
      <c r="AU188" s="26" t="s">
        <v>78</v>
      </c>
      <c r="AV188" s="31">
        <f t="shared" ca="1" si="59"/>
        <v>42376.365370833337</v>
      </c>
    </row>
    <row r="189" spans="1:48">
      <c r="A189" s="26">
        <v>7</v>
      </c>
      <c r="B189" s="26">
        <f>MONTH('Report Inputs'!$B$2)</f>
        <v>11</v>
      </c>
      <c r="C189" s="26">
        <f>YEAR('Report Inputs'!$B$2)</f>
        <v>2015</v>
      </c>
      <c r="D189" s="26">
        <v>66571</v>
      </c>
      <c r="F189" s="26" t="s">
        <v>65</v>
      </c>
      <c r="G189" s="26" t="s">
        <v>66</v>
      </c>
      <c r="H189" s="26" t="s">
        <v>67</v>
      </c>
      <c r="I189" s="26" t="s">
        <v>68</v>
      </c>
      <c r="J189" s="26" t="s">
        <v>69</v>
      </c>
      <c r="K189" s="26">
        <v>713</v>
      </c>
      <c r="L189" s="26" t="s">
        <v>70</v>
      </c>
      <c r="M189" s="26">
        <v>713</v>
      </c>
      <c r="N189" s="26" t="s">
        <v>71</v>
      </c>
      <c r="O189" s="26" t="s">
        <v>72</v>
      </c>
      <c r="P189" s="26">
        <v>45</v>
      </c>
      <c r="Q189" s="27">
        <v>15644</v>
      </c>
      <c r="R189" s="26">
        <v>0</v>
      </c>
      <c r="S189" s="26" t="s">
        <v>649</v>
      </c>
      <c r="T189" s="26" t="s">
        <v>83</v>
      </c>
      <c r="U189" s="26" t="str">
        <f t="shared" si="62"/>
        <v>PR</v>
      </c>
      <c r="V189" s="26">
        <f t="shared" si="63"/>
        <v>30</v>
      </c>
      <c r="W189" s="26" t="s">
        <v>107</v>
      </c>
      <c r="X189" s="26">
        <v>16</v>
      </c>
      <c r="Y189" s="26" t="s">
        <v>74</v>
      </c>
      <c r="Z189" s="26" t="s">
        <v>75</v>
      </c>
      <c r="AA189" s="28">
        <f t="shared" si="73"/>
        <v>0.58199999999999996</v>
      </c>
      <c r="AB189" s="28">
        <f t="shared" si="74"/>
        <v>8.1890000000000001</v>
      </c>
      <c r="AC189" s="28">
        <f t="shared" si="75"/>
        <v>8.1950000000000003</v>
      </c>
      <c r="AD189" s="28">
        <f t="shared" si="76"/>
        <v>0</v>
      </c>
      <c r="AE189" s="28">
        <f t="shared" si="77"/>
        <v>0.57599999999999996</v>
      </c>
      <c r="AF189" s="28">
        <f t="shared" si="68"/>
        <v>5905.74</v>
      </c>
      <c r="AG189" s="28">
        <v>2</v>
      </c>
      <c r="AH189" s="28">
        <f t="shared" si="70"/>
        <v>526.06299999999999</v>
      </c>
      <c r="AI189" s="28">
        <f t="shared" si="60"/>
        <v>0</v>
      </c>
      <c r="AJ189" s="28">
        <f t="shared" si="71"/>
        <v>5378.2070000000003</v>
      </c>
      <c r="AK189" s="30">
        <f>'Report Inputs'!$F$2</f>
        <v>55.9</v>
      </c>
      <c r="AL189" s="28">
        <f>'Report Inputs'!$E$2</f>
        <v>1080</v>
      </c>
      <c r="AM189" s="28">
        <f t="shared" si="78"/>
        <v>65.192999999999998</v>
      </c>
      <c r="AN189" s="26" t="s">
        <v>744</v>
      </c>
      <c r="AS189" s="26" t="s">
        <v>76</v>
      </c>
      <c r="AT189" s="26" t="s">
        <v>77</v>
      </c>
      <c r="AU189" s="26" t="s">
        <v>78</v>
      </c>
      <c r="AV189" s="31">
        <f t="shared" ca="1" si="59"/>
        <v>42376.365370833337</v>
      </c>
    </row>
    <row r="190" spans="1:48">
      <c r="A190" s="26">
        <v>7</v>
      </c>
      <c r="B190" s="26">
        <f>MONTH('Report Inputs'!$B$2)</f>
        <v>11</v>
      </c>
      <c r="C190" s="26">
        <f>YEAR('Report Inputs'!$B$2)</f>
        <v>2015</v>
      </c>
      <c r="D190" s="26">
        <v>66571</v>
      </c>
      <c r="F190" s="26" t="s">
        <v>65</v>
      </c>
      <c r="G190" s="26" t="s">
        <v>66</v>
      </c>
      <c r="H190" s="26" t="s">
        <v>67</v>
      </c>
      <c r="I190" s="26" t="s">
        <v>68</v>
      </c>
      <c r="J190" s="26" t="s">
        <v>69</v>
      </c>
      <c r="K190" s="26">
        <v>713</v>
      </c>
      <c r="L190" s="26" t="s">
        <v>70</v>
      </c>
      <c r="M190" s="26">
        <v>713</v>
      </c>
      <c r="N190" s="26" t="s">
        <v>71</v>
      </c>
      <c r="O190" s="26" t="s">
        <v>72</v>
      </c>
      <c r="P190" s="26">
        <v>45</v>
      </c>
      <c r="Q190" s="27">
        <v>15782</v>
      </c>
      <c r="R190" s="26">
        <v>0</v>
      </c>
      <c r="S190" s="26" t="s">
        <v>293</v>
      </c>
      <c r="T190" s="26" t="s">
        <v>80</v>
      </c>
      <c r="U190" s="26" t="str">
        <f t="shared" si="62"/>
        <v>PR</v>
      </c>
      <c r="V190" s="26">
        <f t="shared" si="63"/>
        <v>30</v>
      </c>
      <c r="W190" s="26" t="s">
        <v>107</v>
      </c>
      <c r="X190" s="26">
        <v>16</v>
      </c>
      <c r="Y190" s="26" t="s">
        <v>74</v>
      </c>
      <c r="Z190" s="26" t="s">
        <v>75</v>
      </c>
      <c r="AA190" s="28">
        <f t="shared" si="73"/>
        <v>0.47499999999999998</v>
      </c>
      <c r="AB190" s="28">
        <f t="shared" si="74"/>
        <v>6.5250000000000004</v>
      </c>
      <c r="AC190" s="28">
        <f t="shared" si="75"/>
        <v>6.5389999999999997</v>
      </c>
      <c r="AD190" s="28">
        <f t="shared" si="76"/>
        <v>0</v>
      </c>
      <c r="AE190" s="28">
        <f t="shared" si="77"/>
        <v>0.46100000000000002</v>
      </c>
      <c r="AF190" s="28">
        <f t="shared" si="68"/>
        <v>4763.1400000000003</v>
      </c>
      <c r="AG190" s="28">
        <f t="shared" si="69"/>
        <v>1.17</v>
      </c>
      <c r="AH190" s="28">
        <v>477</v>
      </c>
      <c r="AI190" s="28">
        <f t="shared" si="60"/>
        <v>0</v>
      </c>
      <c r="AJ190" s="28">
        <f t="shared" si="71"/>
        <v>4285.4809999999998</v>
      </c>
      <c r="AK190" s="30">
        <f>'Report Inputs'!$F$2</f>
        <v>55.9</v>
      </c>
      <c r="AL190" s="28">
        <f>'Report Inputs'!$E$2</f>
        <v>1080</v>
      </c>
      <c r="AM190" s="28">
        <f t="shared" si="78"/>
        <v>51.948</v>
      </c>
      <c r="AN190" s="26" t="s">
        <v>744</v>
      </c>
      <c r="AS190" s="26" t="s">
        <v>76</v>
      </c>
      <c r="AT190" s="26" t="s">
        <v>77</v>
      </c>
      <c r="AU190" s="26" t="s">
        <v>78</v>
      </c>
      <c r="AV190" s="31">
        <f t="shared" ca="1" si="59"/>
        <v>42376.365370833337</v>
      </c>
    </row>
    <row r="191" spans="1:48">
      <c r="A191" s="26">
        <v>7</v>
      </c>
      <c r="B191" s="26">
        <f>MONTH('Report Inputs'!$B$2)</f>
        <v>11</v>
      </c>
      <c r="C191" s="26">
        <f>YEAR('Report Inputs'!$B$2)</f>
        <v>2015</v>
      </c>
      <c r="D191" s="26">
        <v>66571</v>
      </c>
      <c r="F191" s="26" t="s">
        <v>65</v>
      </c>
      <c r="G191" s="26" t="s">
        <v>66</v>
      </c>
      <c r="H191" s="26" t="s">
        <v>67</v>
      </c>
      <c r="I191" s="26" t="s">
        <v>68</v>
      </c>
      <c r="J191" s="26" t="s">
        <v>69</v>
      </c>
      <c r="K191" s="26">
        <v>713</v>
      </c>
      <c r="L191" s="26" t="s">
        <v>70</v>
      </c>
      <c r="M191" s="26">
        <v>713</v>
      </c>
      <c r="N191" s="26" t="s">
        <v>71</v>
      </c>
      <c r="O191" s="26" t="s">
        <v>72</v>
      </c>
      <c r="P191" s="26">
        <v>45</v>
      </c>
      <c r="Q191" s="27">
        <v>15783</v>
      </c>
      <c r="R191" s="26">
        <v>0</v>
      </c>
      <c r="S191" s="26" t="s">
        <v>650</v>
      </c>
      <c r="T191" s="26" t="s">
        <v>80</v>
      </c>
      <c r="U191" s="26" t="str">
        <f t="shared" si="62"/>
        <v>PR</v>
      </c>
      <c r="V191" s="26">
        <f t="shared" si="63"/>
        <v>30</v>
      </c>
      <c r="W191" s="26" t="s">
        <v>107</v>
      </c>
      <c r="X191" s="26">
        <v>16</v>
      </c>
      <c r="Y191" s="26" t="s">
        <v>74</v>
      </c>
      <c r="Z191" s="26" t="s">
        <v>75</v>
      </c>
      <c r="AA191" s="28">
        <f t="shared" si="73"/>
        <v>0.432</v>
      </c>
      <c r="AB191" s="28">
        <f t="shared" si="74"/>
        <v>6.0549999999999997</v>
      </c>
      <c r="AC191" s="28">
        <f t="shared" si="75"/>
        <v>6.0590000000000002</v>
      </c>
      <c r="AD191" s="28">
        <f t="shared" si="76"/>
        <v>0</v>
      </c>
      <c r="AE191" s="28">
        <f t="shared" si="77"/>
        <v>0.42799999999999999</v>
      </c>
      <c r="AF191" s="28">
        <f t="shared" si="68"/>
        <v>4440.16</v>
      </c>
      <c r="AG191" s="28">
        <f t="shared" si="69"/>
        <v>1.0900000000000001</v>
      </c>
      <c r="AH191" s="28">
        <f t="shared" si="70"/>
        <v>462.476</v>
      </c>
      <c r="AI191" s="28">
        <f t="shared" si="60"/>
        <v>0</v>
      </c>
      <c r="AJ191" s="28">
        <f t="shared" si="71"/>
        <v>3976.5940000000001</v>
      </c>
      <c r="AK191" s="30">
        <f>'Report Inputs'!$F$2</f>
        <v>55.9</v>
      </c>
      <c r="AL191" s="28">
        <f>'Report Inputs'!$E$2</f>
        <v>1080</v>
      </c>
      <c r="AM191" s="28">
        <f t="shared" si="78"/>
        <v>48.203000000000003</v>
      </c>
      <c r="AN191" s="26" t="s">
        <v>744</v>
      </c>
      <c r="AS191" s="26" t="s">
        <v>76</v>
      </c>
      <c r="AT191" s="26" t="s">
        <v>77</v>
      </c>
      <c r="AU191" s="26" t="s">
        <v>78</v>
      </c>
      <c r="AV191" s="31">
        <f t="shared" ref="AV191:AV254" ca="1" si="79">NOW()</f>
        <v>42376.365370833337</v>
      </c>
    </row>
    <row r="192" spans="1:48">
      <c r="A192" s="26">
        <v>7</v>
      </c>
      <c r="B192" s="26">
        <f>MONTH('Report Inputs'!$B$2)</f>
        <v>11</v>
      </c>
      <c r="C192" s="26">
        <f>YEAR('Report Inputs'!$B$2)</f>
        <v>2015</v>
      </c>
      <c r="D192" s="26">
        <v>66571</v>
      </c>
      <c r="F192" s="26" t="s">
        <v>65</v>
      </c>
      <c r="G192" s="26" t="s">
        <v>66</v>
      </c>
      <c r="H192" s="26" t="s">
        <v>67</v>
      </c>
      <c r="I192" s="26" t="s">
        <v>68</v>
      </c>
      <c r="J192" s="26" t="s">
        <v>69</v>
      </c>
      <c r="K192" s="26">
        <v>713</v>
      </c>
      <c r="L192" s="26" t="s">
        <v>70</v>
      </c>
      <c r="M192" s="26">
        <v>713</v>
      </c>
      <c r="N192" s="26" t="s">
        <v>71</v>
      </c>
      <c r="O192" s="26" t="s">
        <v>72</v>
      </c>
      <c r="P192" s="26">
        <v>45</v>
      </c>
      <c r="Q192" s="27">
        <v>16001</v>
      </c>
      <c r="R192" s="26">
        <v>0</v>
      </c>
      <c r="S192" s="26" t="s">
        <v>303</v>
      </c>
      <c r="T192" s="26" t="s">
        <v>80</v>
      </c>
      <c r="U192" s="26" t="str">
        <f t="shared" si="62"/>
        <v>PR</v>
      </c>
      <c r="V192" s="26">
        <f t="shared" si="63"/>
        <v>30</v>
      </c>
      <c r="W192" s="26" t="s">
        <v>107</v>
      </c>
      <c r="X192" s="26">
        <v>9</v>
      </c>
      <c r="Y192" s="26" t="s">
        <v>74</v>
      </c>
      <c r="Z192" s="26" t="s">
        <v>75</v>
      </c>
      <c r="AA192" s="28">
        <f t="shared" si="73"/>
        <v>0.21199999999999999</v>
      </c>
      <c r="AB192" s="28">
        <f t="shared" si="74"/>
        <v>8.6910000000000007</v>
      </c>
      <c r="AC192" s="28">
        <f t="shared" si="75"/>
        <v>8.4920000000000009</v>
      </c>
      <c r="AD192" s="28">
        <f t="shared" si="76"/>
        <v>-1</v>
      </c>
      <c r="AE192" s="28">
        <f t="shared" si="77"/>
        <v>0.41099999999999998</v>
      </c>
      <c r="AF192" s="28">
        <f t="shared" si="68"/>
        <v>2226.5700000000002</v>
      </c>
      <c r="AG192" s="28">
        <f t="shared" si="69"/>
        <v>1.7</v>
      </c>
      <c r="AH192" s="28">
        <v>300</v>
      </c>
      <c r="AI192" s="28">
        <f t="shared" si="60"/>
        <v>0</v>
      </c>
      <c r="AJ192" s="28">
        <f t="shared" si="71"/>
        <v>1925.4480000000001</v>
      </c>
      <c r="AK192" s="30">
        <f>'Report Inputs'!$F$2</f>
        <v>55.9</v>
      </c>
      <c r="AL192" s="28">
        <f>'Report Inputs'!$E$2</f>
        <v>1080</v>
      </c>
      <c r="AM192" s="28">
        <f t="shared" si="78"/>
        <v>51.78</v>
      </c>
      <c r="AN192" s="26" t="s">
        <v>744</v>
      </c>
      <c r="AS192" s="26" t="s">
        <v>76</v>
      </c>
      <c r="AT192" s="26" t="s">
        <v>77</v>
      </c>
      <c r="AU192" s="26" t="s">
        <v>78</v>
      </c>
      <c r="AV192" s="31">
        <f t="shared" ca="1" si="79"/>
        <v>42376.365370833337</v>
      </c>
    </row>
    <row r="193" spans="1:48">
      <c r="A193" s="26">
        <v>7</v>
      </c>
      <c r="B193" s="26">
        <f>MONTH('Report Inputs'!$B$2)</f>
        <v>11</v>
      </c>
      <c r="C193" s="26">
        <f>YEAR('Report Inputs'!$B$2)</f>
        <v>2015</v>
      </c>
      <c r="D193" s="26">
        <v>66571</v>
      </c>
      <c r="F193" s="26" t="s">
        <v>65</v>
      </c>
      <c r="G193" s="26" t="s">
        <v>66</v>
      </c>
      <c r="H193" s="26" t="s">
        <v>67</v>
      </c>
      <c r="I193" s="26" t="s">
        <v>68</v>
      </c>
      <c r="J193" s="26" t="s">
        <v>69</v>
      </c>
      <c r="K193" s="26">
        <v>713</v>
      </c>
      <c r="L193" s="26" t="s">
        <v>70</v>
      </c>
      <c r="M193" s="26">
        <v>713</v>
      </c>
      <c r="N193" s="26" t="s">
        <v>71</v>
      </c>
      <c r="O193" s="26" t="s">
        <v>72</v>
      </c>
      <c r="P193" s="26">
        <v>45</v>
      </c>
      <c r="Q193" s="27">
        <v>16006</v>
      </c>
      <c r="R193" s="26">
        <v>0</v>
      </c>
      <c r="S193" s="26" t="s">
        <v>310</v>
      </c>
      <c r="T193" s="26" t="s">
        <v>80</v>
      </c>
      <c r="U193" s="26" t="str">
        <f t="shared" si="62"/>
        <v>PR</v>
      </c>
      <c r="V193" s="26">
        <v>30</v>
      </c>
      <c r="W193" s="26" t="s">
        <v>107</v>
      </c>
      <c r="X193" s="26">
        <v>9</v>
      </c>
      <c r="Y193" s="26" t="s">
        <v>74</v>
      </c>
      <c r="Z193" s="26" t="s">
        <v>75</v>
      </c>
      <c r="AA193" s="28">
        <f t="shared" si="73"/>
        <v>0.38300000000000001</v>
      </c>
      <c r="AB193" s="28">
        <f t="shared" si="74"/>
        <v>14.513</v>
      </c>
      <c r="AC193" s="28">
        <f t="shared" si="75"/>
        <v>14.209</v>
      </c>
      <c r="AD193" s="28">
        <f t="shared" si="76"/>
        <v>0</v>
      </c>
      <c r="AE193" s="28">
        <f t="shared" si="77"/>
        <v>0.68700000000000006</v>
      </c>
      <c r="AF193" s="28">
        <f t="shared" si="68"/>
        <v>3580.24</v>
      </c>
      <c r="AG193" s="28">
        <f t="shared" si="69"/>
        <v>2.83</v>
      </c>
      <c r="AH193" s="28">
        <f t="shared" si="70"/>
        <v>361.98399999999998</v>
      </c>
      <c r="AI193" s="28">
        <f t="shared" ref="AI193:AI229" si="80">ROUND(AF193,0)-ROUND(AG193,0)-ROUND(AH193,0)-ROUND(AJ193,0)</f>
        <v>0</v>
      </c>
      <c r="AJ193" s="28">
        <f t="shared" si="71"/>
        <v>3215.4259999999999</v>
      </c>
      <c r="AK193" s="30">
        <f>'Report Inputs'!$F$2</f>
        <v>55.9</v>
      </c>
      <c r="AL193" s="28">
        <f>'Report Inputs'!$E$2</f>
        <v>1080</v>
      </c>
      <c r="AM193" s="28">
        <f t="shared" si="78"/>
        <v>86.472999999999999</v>
      </c>
      <c r="AN193" s="26" t="s">
        <v>744</v>
      </c>
      <c r="AS193" s="26" t="s">
        <v>76</v>
      </c>
      <c r="AT193" s="26" t="s">
        <v>77</v>
      </c>
      <c r="AU193" s="26" t="s">
        <v>78</v>
      </c>
      <c r="AV193" s="31">
        <f t="shared" ca="1" si="79"/>
        <v>42376.365370833337</v>
      </c>
    </row>
    <row r="194" spans="1:48">
      <c r="A194" s="26">
        <v>7</v>
      </c>
      <c r="B194" s="26">
        <f>MONTH('Report Inputs'!$B$2)</f>
        <v>11</v>
      </c>
      <c r="C194" s="26">
        <f>YEAR('Report Inputs'!$B$2)</f>
        <v>2015</v>
      </c>
      <c r="D194" s="26">
        <v>66571</v>
      </c>
      <c r="F194" s="26" t="s">
        <v>65</v>
      </c>
      <c r="G194" s="26" t="s">
        <v>66</v>
      </c>
      <c r="H194" s="26" t="s">
        <v>67</v>
      </c>
      <c r="I194" s="26" t="s">
        <v>68</v>
      </c>
      <c r="J194" s="26" t="s">
        <v>69</v>
      </c>
      <c r="K194" s="26">
        <v>713</v>
      </c>
      <c r="L194" s="26" t="s">
        <v>70</v>
      </c>
      <c r="M194" s="26">
        <v>713</v>
      </c>
      <c r="N194" s="26" t="s">
        <v>71</v>
      </c>
      <c r="O194" s="26" t="s">
        <v>72</v>
      </c>
      <c r="P194" s="26">
        <v>45</v>
      </c>
      <c r="Q194" s="27">
        <v>16007</v>
      </c>
      <c r="R194" s="26">
        <v>0</v>
      </c>
      <c r="S194" s="26" t="s">
        <v>636</v>
      </c>
      <c r="T194" s="26" t="s">
        <v>80</v>
      </c>
      <c r="U194" s="26" t="str">
        <f t="shared" si="62"/>
        <v>PR</v>
      </c>
      <c r="V194" s="26">
        <f t="shared" ref="V194:V199" si="81">IF(ISNA(VLOOKUP($Q194,data,4,FALSE)),0,VLOOKUP($Q194,data,4,FALSE))</f>
        <v>30</v>
      </c>
      <c r="W194" s="26" t="s">
        <v>107</v>
      </c>
      <c r="X194" s="26">
        <v>9</v>
      </c>
      <c r="Y194" s="26" t="s">
        <v>74</v>
      </c>
      <c r="Z194" s="26" t="s">
        <v>75</v>
      </c>
      <c r="AA194" s="28">
        <f t="shared" si="73"/>
        <v>0.53700000000000003</v>
      </c>
      <c r="AB194" s="28">
        <f t="shared" si="74"/>
        <v>22.234000000000002</v>
      </c>
      <c r="AC194" s="28">
        <f t="shared" si="75"/>
        <v>21.722000000000001</v>
      </c>
      <c r="AD194" s="28">
        <f t="shared" si="76"/>
        <v>0</v>
      </c>
      <c r="AE194" s="28">
        <f t="shared" si="77"/>
        <v>1.0489999999999999</v>
      </c>
      <c r="AF194" s="28">
        <f t="shared" si="68"/>
        <v>5365.61</v>
      </c>
      <c r="AG194" s="28">
        <f t="shared" si="69"/>
        <v>4.34</v>
      </c>
      <c r="AH194" s="28">
        <f t="shared" si="70"/>
        <v>435.536</v>
      </c>
      <c r="AI194" s="28">
        <f t="shared" si="80"/>
        <v>0</v>
      </c>
      <c r="AJ194" s="28">
        <f t="shared" si="71"/>
        <v>4925.7340000000004</v>
      </c>
      <c r="AK194" s="30">
        <f>'Report Inputs'!$F$2</f>
        <v>55.9</v>
      </c>
      <c r="AL194" s="28">
        <f>'Report Inputs'!$E$2</f>
        <v>1080</v>
      </c>
      <c r="AM194" s="28">
        <f t="shared" si="78"/>
        <v>132.46799999999999</v>
      </c>
      <c r="AN194" s="26" t="s">
        <v>744</v>
      </c>
      <c r="AS194" s="26" t="s">
        <v>76</v>
      </c>
      <c r="AT194" s="26" t="s">
        <v>77</v>
      </c>
      <c r="AU194" s="26" t="s">
        <v>78</v>
      </c>
      <c r="AV194" s="31">
        <f t="shared" ca="1" si="79"/>
        <v>42376.365370833337</v>
      </c>
    </row>
    <row r="195" spans="1:48">
      <c r="A195" s="26">
        <v>7</v>
      </c>
      <c r="B195" s="26">
        <f>MONTH('Report Inputs'!$B$2)</f>
        <v>11</v>
      </c>
      <c r="C195" s="26">
        <f>YEAR('Report Inputs'!$B$2)</f>
        <v>2015</v>
      </c>
      <c r="D195" s="26">
        <v>66571</v>
      </c>
      <c r="F195" s="26" t="s">
        <v>65</v>
      </c>
      <c r="G195" s="26" t="s">
        <v>66</v>
      </c>
      <c r="H195" s="26" t="s">
        <v>67</v>
      </c>
      <c r="I195" s="26" t="s">
        <v>68</v>
      </c>
      <c r="J195" s="26" t="s">
        <v>69</v>
      </c>
      <c r="K195" s="26">
        <v>713</v>
      </c>
      <c r="L195" s="26" t="s">
        <v>70</v>
      </c>
      <c r="M195" s="26">
        <v>713</v>
      </c>
      <c r="N195" s="26" t="s">
        <v>71</v>
      </c>
      <c r="O195" s="26" t="s">
        <v>72</v>
      </c>
      <c r="P195" s="26">
        <v>45</v>
      </c>
      <c r="Q195" s="27">
        <v>16009</v>
      </c>
      <c r="R195" s="26">
        <v>0</v>
      </c>
      <c r="S195" s="26" t="s">
        <v>304</v>
      </c>
      <c r="T195" s="26" t="s">
        <v>1035</v>
      </c>
      <c r="U195" s="26" t="str">
        <f t="shared" si="62"/>
        <v>PR</v>
      </c>
      <c r="V195" s="26">
        <f t="shared" si="81"/>
        <v>30</v>
      </c>
      <c r="W195" s="26" t="s">
        <v>107</v>
      </c>
      <c r="X195" s="26">
        <v>9</v>
      </c>
      <c r="Y195" s="26" t="s">
        <v>74</v>
      </c>
      <c r="Z195" s="26" t="s">
        <v>75</v>
      </c>
      <c r="AA195" s="28">
        <f t="shared" si="73"/>
        <v>0.67900000000000005</v>
      </c>
      <c r="AB195" s="28">
        <f t="shared" si="74"/>
        <v>25.681999999999999</v>
      </c>
      <c r="AC195" s="28">
        <f t="shared" si="75"/>
        <v>25.143000000000001</v>
      </c>
      <c r="AD195" s="28">
        <f t="shared" si="76"/>
        <v>-1</v>
      </c>
      <c r="AE195" s="28">
        <f t="shared" si="77"/>
        <v>1.218</v>
      </c>
      <c r="AF195" s="28">
        <f t="shared" si="68"/>
        <v>6164.88</v>
      </c>
      <c r="AG195" s="28">
        <f t="shared" si="69"/>
        <v>5.01</v>
      </c>
      <c r="AH195" s="28">
        <f t="shared" si="70"/>
        <v>470.19299999999998</v>
      </c>
      <c r="AI195" s="28">
        <f t="shared" si="80"/>
        <v>0</v>
      </c>
      <c r="AJ195" s="28">
        <f t="shared" si="71"/>
        <v>5689.6769999999997</v>
      </c>
      <c r="AK195" s="30">
        <f>'Report Inputs'!$F$2</f>
        <v>55.9</v>
      </c>
      <c r="AL195" s="28">
        <f>'Report Inputs'!$E$2</f>
        <v>1080</v>
      </c>
      <c r="AM195" s="28">
        <f t="shared" si="78"/>
        <v>153.012</v>
      </c>
      <c r="AN195" s="26" t="s">
        <v>744</v>
      </c>
      <c r="AS195" s="26" t="s">
        <v>76</v>
      </c>
      <c r="AT195" s="26" t="s">
        <v>77</v>
      </c>
      <c r="AU195" s="26" t="s">
        <v>78</v>
      </c>
      <c r="AV195" s="31">
        <f t="shared" ca="1" si="79"/>
        <v>42376.365370833337</v>
      </c>
    </row>
    <row r="196" spans="1:48">
      <c r="A196" s="26">
        <v>7</v>
      </c>
      <c r="B196" s="26">
        <f>MONTH('Report Inputs'!$B$2)</f>
        <v>11</v>
      </c>
      <c r="C196" s="26">
        <f>YEAR('Report Inputs'!$B$2)</f>
        <v>2015</v>
      </c>
      <c r="D196" s="26">
        <v>66571</v>
      </c>
      <c r="F196" s="26" t="s">
        <v>65</v>
      </c>
      <c r="G196" s="26" t="s">
        <v>66</v>
      </c>
      <c r="H196" s="26" t="s">
        <v>67</v>
      </c>
      <c r="I196" s="26" t="s">
        <v>68</v>
      </c>
      <c r="J196" s="26" t="s">
        <v>69</v>
      </c>
      <c r="K196" s="26">
        <v>713</v>
      </c>
      <c r="L196" s="26" t="s">
        <v>70</v>
      </c>
      <c r="M196" s="26">
        <v>713</v>
      </c>
      <c r="N196" s="26" t="s">
        <v>71</v>
      </c>
      <c r="O196" s="26" t="s">
        <v>72</v>
      </c>
      <c r="P196" s="26">
        <v>45</v>
      </c>
      <c r="Q196" s="27">
        <v>16010</v>
      </c>
      <c r="R196" s="26">
        <v>0</v>
      </c>
      <c r="S196" s="26" t="s">
        <v>307</v>
      </c>
      <c r="T196" s="26" t="s">
        <v>80</v>
      </c>
      <c r="U196" s="26" t="str">
        <f t="shared" ref="U196:U259" si="82">IF(V196&gt;0,"PR","SI")</f>
        <v>PR</v>
      </c>
      <c r="V196" s="26">
        <f t="shared" si="81"/>
        <v>30</v>
      </c>
      <c r="W196" s="26" t="s">
        <v>107</v>
      </c>
      <c r="X196" s="26">
        <v>9</v>
      </c>
      <c r="Y196" s="26" t="s">
        <v>74</v>
      </c>
      <c r="Z196" s="26" t="s">
        <v>75</v>
      </c>
      <c r="AA196" s="28">
        <f t="shared" si="73"/>
        <v>1.2999999999999999E-2</v>
      </c>
      <c r="AB196" s="28">
        <f t="shared" si="74"/>
        <v>0.54500000000000004</v>
      </c>
      <c r="AC196" s="28">
        <f t="shared" si="75"/>
        <v>0.53200000000000003</v>
      </c>
      <c r="AD196" s="28">
        <f t="shared" si="76"/>
        <v>0</v>
      </c>
      <c r="AE196" s="28">
        <f t="shared" si="77"/>
        <v>2.5999999999999999E-2</v>
      </c>
      <c r="AF196" s="28">
        <f t="shared" si="68"/>
        <v>338.58</v>
      </c>
      <c r="AG196" s="28">
        <f t="shared" si="69"/>
        <v>0.11</v>
      </c>
      <c r="AH196" s="28">
        <f t="shared" si="70"/>
        <v>217.55600000000001</v>
      </c>
      <c r="AI196" s="28">
        <f t="shared" si="80"/>
        <v>0</v>
      </c>
      <c r="AJ196" s="28">
        <f t="shared" si="71"/>
        <v>120.914</v>
      </c>
      <c r="AK196" s="30">
        <f>'Report Inputs'!$F$2</f>
        <v>55.9</v>
      </c>
      <c r="AL196" s="28">
        <f>'Report Inputs'!$E$2</f>
        <v>1080</v>
      </c>
      <c r="AM196" s="28">
        <f t="shared" si="78"/>
        <v>3.2519999999999998</v>
      </c>
      <c r="AN196" s="26" t="s">
        <v>744</v>
      </c>
      <c r="AS196" s="26" t="s">
        <v>76</v>
      </c>
      <c r="AT196" s="26" t="s">
        <v>77</v>
      </c>
      <c r="AU196" s="26" t="s">
        <v>78</v>
      </c>
      <c r="AV196" s="31">
        <f t="shared" ca="1" si="79"/>
        <v>42376.365370833337</v>
      </c>
    </row>
    <row r="197" spans="1:48">
      <c r="A197" s="26">
        <v>7</v>
      </c>
      <c r="B197" s="26">
        <f>MONTH('Report Inputs'!$B$2)</f>
        <v>11</v>
      </c>
      <c r="C197" s="26">
        <f>YEAR('Report Inputs'!$B$2)</f>
        <v>2015</v>
      </c>
      <c r="D197" s="26">
        <v>66571</v>
      </c>
      <c r="F197" s="26" t="s">
        <v>65</v>
      </c>
      <c r="G197" s="26" t="s">
        <v>66</v>
      </c>
      <c r="H197" s="26" t="s">
        <v>67</v>
      </c>
      <c r="I197" s="26" t="s">
        <v>68</v>
      </c>
      <c r="J197" s="26" t="s">
        <v>69</v>
      </c>
      <c r="K197" s="26">
        <v>713</v>
      </c>
      <c r="L197" s="26" t="s">
        <v>70</v>
      </c>
      <c r="M197" s="26">
        <v>713</v>
      </c>
      <c r="N197" s="26" t="s">
        <v>71</v>
      </c>
      <c r="O197" s="26" t="s">
        <v>72</v>
      </c>
      <c r="P197" s="26">
        <v>45</v>
      </c>
      <c r="Q197" s="27">
        <v>16017</v>
      </c>
      <c r="R197" s="26">
        <v>0</v>
      </c>
      <c r="S197" s="26" t="s">
        <v>311</v>
      </c>
      <c r="T197" s="26" t="s">
        <v>80</v>
      </c>
      <c r="U197" s="26" t="str">
        <f t="shared" si="82"/>
        <v>PR</v>
      </c>
      <c r="V197" s="26">
        <f t="shared" si="81"/>
        <v>29</v>
      </c>
      <c r="W197" s="26" t="s">
        <v>107</v>
      </c>
      <c r="X197" s="26">
        <v>9</v>
      </c>
      <c r="Y197" s="26" t="s">
        <v>74</v>
      </c>
      <c r="Z197" s="26" t="s">
        <v>75</v>
      </c>
      <c r="AA197" s="28">
        <f t="shared" si="73"/>
        <v>0.13600000000000001</v>
      </c>
      <c r="AB197" s="28">
        <f t="shared" si="74"/>
        <v>5.0640000000000001</v>
      </c>
      <c r="AC197" s="28">
        <f t="shared" si="75"/>
        <v>4.96</v>
      </c>
      <c r="AD197" s="28">
        <f t="shared" si="76"/>
        <v>0</v>
      </c>
      <c r="AE197" s="28">
        <f t="shared" si="77"/>
        <v>0.24</v>
      </c>
      <c r="AF197" s="28">
        <f t="shared" si="68"/>
        <v>1385.86</v>
      </c>
      <c r="AG197" s="28">
        <f t="shared" si="69"/>
        <v>0.99</v>
      </c>
      <c r="AH197" s="28">
        <f t="shared" si="70"/>
        <v>262.96699999999998</v>
      </c>
      <c r="AI197" s="28">
        <f t="shared" si="80"/>
        <v>0</v>
      </c>
      <c r="AJ197" s="28">
        <f t="shared" si="71"/>
        <v>1121.903</v>
      </c>
      <c r="AK197" s="30">
        <f>'Report Inputs'!$F$2</f>
        <v>55.9</v>
      </c>
      <c r="AL197" s="28">
        <f>'Report Inputs'!$E$2</f>
        <v>1080</v>
      </c>
      <c r="AM197" s="28">
        <f t="shared" si="78"/>
        <v>30.170999999999999</v>
      </c>
      <c r="AN197" s="26" t="s">
        <v>744</v>
      </c>
      <c r="AS197" s="26" t="s">
        <v>76</v>
      </c>
      <c r="AT197" s="26" t="s">
        <v>77</v>
      </c>
      <c r="AU197" s="26" t="s">
        <v>78</v>
      </c>
      <c r="AV197" s="31">
        <f t="shared" ca="1" si="79"/>
        <v>42376.365370833337</v>
      </c>
    </row>
    <row r="198" spans="1:48">
      <c r="A198" s="26">
        <v>7</v>
      </c>
      <c r="B198" s="26">
        <f>MONTH('Report Inputs'!$B$2)</f>
        <v>11</v>
      </c>
      <c r="C198" s="26">
        <f>YEAR('Report Inputs'!$B$2)</f>
        <v>2015</v>
      </c>
      <c r="D198" s="26">
        <v>66571</v>
      </c>
      <c r="F198" s="26" t="s">
        <v>65</v>
      </c>
      <c r="G198" s="26" t="s">
        <v>66</v>
      </c>
      <c r="H198" s="26" t="s">
        <v>67</v>
      </c>
      <c r="I198" s="26" t="s">
        <v>68</v>
      </c>
      <c r="J198" s="26" t="s">
        <v>69</v>
      </c>
      <c r="K198" s="26">
        <v>713</v>
      </c>
      <c r="L198" s="26" t="s">
        <v>70</v>
      </c>
      <c r="M198" s="26">
        <v>713</v>
      </c>
      <c r="N198" s="26" t="s">
        <v>71</v>
      </c>
      <c r="O198" s="26" t="s">
        <v>72</v>
      </c>
      <c r="P198" s="26">
        <v>45</v>
      </c>
      <c r="Q198" s="27">
        <v>16018</v>
      </c>
      <c r="R198" s="26">
        <v>0</v>
      </c>
      <c r="S198" s="26" t="s">
        <v>788</v>
      </c>
      <c r="T198" s="26" t="s">
        <v>80</v>
      </c>
      <c r="U198" s="26" t="str">
        <f t="shared" si="82"/>
        <v>PR</v>
      </c>
      <c r="V198" s="26">
        <f t="shared" si="81"/>
        <v>30</v>
      </c>
      <c r="W198" s="26" t="s">
        <v>107</v>
      </c>
      <c r="X198" s="26">
        <v>9</v>
      </c>
      <c r="Y198" s="26" t="s">
        <v>74</v>
      </c>
      <c r="Z198" s="26" t="s">
        <v>75</v>
      </c>
      <c r="AA198" s="28">
        <f t="shared" si="73"/>
        <v>1.7999999999999999E-2</v>
      </c>
      <c r="AB198" s="28">
        <f t="shared" si="74"/>
        <v>0.71199999999999997</v>
      </c>
      <c r="AC198" s="28">
        <f t="shared" si="75"/>
        <v>0.69599999999999995</v>
      </c>
      <c r="AD198" s="28">
        <f t="shared" si="76"/>
        <v>0</v>
      </c>
      <c r="AE198" s="28">
        <f t="shared" si="77"/>
        <v>3.4000000000000002E-2</v>
      </c>
      <c r="AF198" s="28">
        <f t="shared" si="68"/>
        <v>377.11</v>
      </c>
      <c r="AG198" s="28">
        <f t="shared" si="69"/>
        <v>0.14000000000000001</v>
      </c>
      <c r="AH198" s="28">
        <f t="shared" si="70"/>
        <v>219.227</v>
      </c>
      <c r="AI198" s="28">
        <f t="shared" si="80"/>
        <v>0</v>
      </c>
      <c r="AJ198" s="28">
        <f t="shared" si="71"/>
        <v>157.74299999999999</v>
      </c>
      <c r="AK198" s="30">
        <f>'Report Inputs'!$F$2</f>
        <v>55.9</v>
      </c>
      <c r="AL198" s="28">
        <f>'Report Inputs'!$E$2</f>
        <v>1080</v>
      </c>
      <c r="AM198" s="28">
        <f t="shared" si="78"/>
        <v>4.242</v>
      </c>
      <c r="AN198" s="26" t="s">
        <v>744</v>
      </c>
      <c r="AS198" s="26" t="s">
        <v>76</v>
      </c>
      <c r="AT198" s="26" t="s">
        <v>77</v>
      </c>
      <c r="AU198" s="26" t="s">
        <v>78</v>
      </c>
      <c r="AV198" s="31">
        <f t="shared" ca="1" si="79"/>
        <v>42376.365370833337</v>
      </c>
    </row>
    <row r="199" spans="1:48">
      <c r="A199" s="26">
        <v>7</v>
      </c>
      <c r="B199" s="26">
        <f>MONTH('Report Inputs'!$B$2)</f>
        <v>11</v>
      </c>
      <c r="C199" s="26">
        <f>YEAR('Report Inputs'!$B$2)</f>
        <v>2015</v>
      </c>
      <c r="D199" s="26">
        <v>66571</v>
      </c>
      <c r="F199" s="26" t="s">
        <v>65</v>
      </c>
      <c r="G199" s="26" t="s">
        <v>66</v>
      </c>
      <c r="H199" s="26" t="s">
        <v>67</v>
      </c>
      <c r="I199" s="26" t="s">
        <v>68</v>
      </c>
      <c r="J199" s="26" t="s">
        <v>69</v>
      </c>
      <c r="K199" s="26">
        <v>713</v>
      </c>
      <c r="L199" s="26" t="s">
        <v>70</v>
      </c>
      <c r="M199" s="26">
        <v>713</v>
      </c>
      <c r="N199" s="26" t="s">
        <v>71</v>
      </c>
      <c r="O199" s="26" t="s">
        <v>72</v>
      </c>
      <c r="P199" s="26">
        <v>45</v>
      </c>
      <c r="Q199" s="27">
        <v>16019</v>
      </c>
      <c r="R199" s="26">
        <v>0</v>
      </c>
      <c r="S199" s="26" t="s">
        <v>302</v>
      </c>
      <c r="T199" s="26" t="s">
        <v>80</v>
      </c>
      <c r="U199" s="26" t="str">
        <f t="shared" si="82"/>
        <v>SI</v>
      </c>
      <c r="V199" s="26">
        <f t="shared" si="81"/>
        <v>0</v>
      </c>
      <c r="W199" s="26" t="s">
        <v>107</v>
      </c>
      <c r="X199" s="26">
        <v>9</v>
      </c>
      <c r="Y199" s="26" t="s">
        <v>74</v>
      </c>
      <c r="Z199" s="26" t="s">
        <v>75</v>
      </c>
      <c r="AA199" s="28">
        <f t="shared" si="73"/>
        <v>0</v>
      </c>
      <c r="AB199" s="28">
        <f t="shared" si="74"/>
        <v>0</v>
      </c>
      <c r="AC199" s="28">
        <f t="shared" si="75"/>
        <v>0</v>
      </c>
      <c r="AD199" s="28">
        <f t="shared" si="76"/>
        <v>0</v>
      </c>
      <c r="AE199" s="28">
        <f t="shared" si="77"/>
        <v>0</v>
      </c>
      <c r="AF199" s="28">
        <f t="shared" si="68"/>
        <v>0</v>
      </c>
      <c r="AG199" s="28">
        <f t="shared" si="69"/>
        <v>0</v>
      </c>
      <c r="AH199" s="28">
        <f t="shared" si="70"/>
        <v>0</v>
      </c>
      <c r="AI199" s="28">
        <f t="shared" si="80"/>
        <v>0</v>
      </c>
      <c r="AJ199" s="28">
        <f t="shared" si="71"/>
        <v>0</v>
      </c>
      <c r="AM199" s="28">
        <f t="shared" si="78"/>
        <v>0</v>
      </c>
      <c r="AN199" s="26" t="s">
        <v>744</v>
      </c>
      <c r="AS199" s="26" t="s">
        <v>76</v>
      </c>
      <c r="AT199" s="26" t="s">
        <v>77</v>
      </c>
      <c r="AU199" s="26" t="s">
        <v>78</v>
      </c>
      <c r="AV199" s="31">
        <f t="shared" ca="1" si="79"/>
        <v>42376.365370833337</v>
      </c>
    </row>
    <row r="200" spans="1:48" s="32" customFormat="1">
      <c r="A200" s="32">
        <v>7</v>
      </c>
      <c r="B200" s="32">
        <f>MONTH('Report Inputs'!$B$2)</f>
        <v>11</v>
      </c>
      <c r="C200" s="32">
        <f>YEAR('Report Inputs'!$B$2)</f>
        <v>2015</v>
      </c>
      <c r="D200" s="32">
        <v>66571</v>
      </c>
      <c r="F200" s="32" t="s">
        <v>65</v>
      </c>
      <c r="G200" s="32" t="s">
        <v>66</v>
      </c>
      <c r="H200" s="32" t="s">
        <v>67</v>
      </c>
      <c r="I200" s="32" t="s">
        <v>68</v>
      </c>
      <c r="J200" s="32" t="s">
        <v>69</v>
      </c>
      <c r="K200" s="32">
        <v>713</v>
      </c>
      <c r="L200" s="32" t="s">
        <v>70</v>
      </c>
      <c r="M200" s="32">
        <v>713</v>
      </c>
      <c r="N200" s="32" t="s">
        <v>71</v>
      </c>
      <c r="O200" s="32" t="s">
        <v>72</v>
      </c>
      <c r="P200" s="32">
        <v>45</v>
      </c>
      <c r="Q200" s="33">
        <v>16020</v>
      </c>
      <c r="R200" s="32">
        <v>0</v>
      </c>
      <c r="S200" s="32" t="s">
        <v>692</v>
      </c>
      <c r="T200" s="32" t="s">
        <v>681</v>
      </c>
      <c r="U200" s="32" t="str">
        <f t="shared" si="82"/>
        <v>PR</v>
      </c>
      <c r="V200" s="32">
        <f t="shared" ref="V200:V257" si="83">IF(ISNA(VLOOKUP($Q200,data,4,FALSE)),0,VLOOKUP($Q200,data,4,FALSE))</f>
        <v>30</v>
      </c>
      <c r="W200" s="32" t="s">
        <v>107</v>
      </c>
      <c r="X200" s="32">
        <v>9</v>
      </c>
      <c r="Y200" s="32" t="s">
        <v>74</v>
      </c>
      <c r="Z200" s="32" t="s">
        <v>75</v>
      </c>
      <c r="AA200" s="29">
        <f>IF(ISNA(VLOOKUP($Q200,data,5,FALSE)),0,VLOOKUP($Q200,data,5,FALSE))*0.2</f>
        <v>0.10460000000000001</v>
      </c>
      <c r="AB200" s="29">
        <f>IF(ISNA(VLOOKUP($Q200,data,7,FALSE)),0,VLOOKUP($Q200,data,7,FALSE))*0.2</f>
        <v>4.1106000000000007</v>
      </c>
      <c r="AC200" s="29">
        <f>IF(ISNA(VLOOKUP($Q200,data,6,FALSE)),0,VLOOKUP($Q200,data,6,FALSE))*0.2</f>
        <v>4.0206000000000008</v>
      </c>
      <c r="AD200" s="29">
        <f t="shared" si="76"/>
        <v>0</v>
      </c>
      <c r="AE200" s="29">
        <f>IF(ISNA(VLOOKUP($Q200,data,13,FALSE)),0,VLOOKUP($Q200,data,13,FALSE))*0.2</f>
        <v>0.1946</v>
      </c>
      <c r="AF200" s="29">
        <f>IF(ISNA(VLOOKUP($Q200,data,9,FALSE)),0,VLOOKUP($Q200,data,9,FALSE))*0.2</f>
        <v>995.50200000000007</v>
      </c>
      <c r="AG200" s="29">
        <f>IF(ISNA(VLOOKUP($Q200,data,10,FALSE)),0,VLOOKUP($Q200,data,10,FALSE))*0.2</f>
        <v>0.80200000000000005</v>
      </c>
      <c r="AH200" s="29">
        <f>IF(ISNA(VLOOKUP($Q200,data,11,FALSE)),0,VLOOKUP($Q200,data,11,FALSE))*0.2</f>
        <v>84.072400000000016</v>
      </c>
      <c r="AI200" s="29">
        <f t="shared" si="80"/>
        <v>0</v>
      </c>
      <c r="AJ200" s="29">
        <f>IF(ISNA(VLOOKUP($Q200,data,8,FALSE)),0,VLOOKUP($Q200,data,8,FALSE))*0.2</f>
        <v>910.62760000000003</v>
      </c>
      <c r="AK200" s="34">
        <f>'Report Inputs'!$F$2</f>
        <v>55.9</v>
      </c>
      <c r="AL200" s="29">
        <f>'Report Inputs'!$E$2</f>
        <v>1080</v>
      </c>
      <c r="AM200" s="29">
        <f>IF(ISNA(VLOOKUP($Q200,data,14,FALSE)),0,VLOOKUP($Q200,data,14,FALSE))*0.2</f>
        <v>24.489400000000003</v>
      </c>
      <c r="AN200" s="32" t="s">
        <v>744</v>
      </c>
      <c r="AS200" s="32" t="s">
        <v>76</v>
      </c>
      <c r="AT200" s="32" t="s">
        <v>77</v>
      </c>
      <c r="AU200" s="32" t="s">
        <v>78</v>
      </c>
      <c r="AV200" s="35">
        <f t="shared" ca="1" si="79"/>
        <v>42376.365370833337</v>
      </c>
    </row>
    <row r="201" spans="1:48" s="32" customFormat="1">
      <c r="A201" s="32">
        <v>7</v>
      </c>
      <c r="B201" s="32">
        <f>MONTH('Report Inputs'!$B$2)</f>
        <v>11</v>
      </c>
      <c r="C201" s="32">
        <f>YEAR('Report Inputs'!$B$2)</f>
        <v>2015</v>
      </c>
      <c r="D201" s="32">
        <v>66571</v>
      </c>
      <c r="F201" s="32" t="s">
        <v>65</v>
      </c>
      <c r="G201" s="32" t="s">
        <v>66</v>
      </c>
      <c r="H201" s="32" t="s">
        <v>67</v>
      </c>
      <c r="I201" s="32" t="s">
        <v>68</v>
      </c>
      <c r="J201" s="32" t="s">
        <v>69</v>
      </c>
      <c r="K201" s="32">
        <v>713</v>
      </c>
      <c r="L201" s="32" t="s">
        <v>70</v>
      </c>
      <c r="M201" s="32">
        <v>713</v>
      </c>
      <c r="N201" s="32" t="s">
        <v>71</v>
      </c>
      <c r="O201" s="32" t="s">
        <v>72</v>
      </c>
      <c r="P201" s="32">
        <v>45</v>
      </c>
      <c r="Q201" s="33">
        <v>16020</v>
      </c>
      <c r="R201" s="32">
        <v>0</v>
      </c>
      <c r="S201" s="32" t="s">
        <v>692</v>
      </c>
      <c r="T201" s="32" t="s">
        <v>694</v>
      </c>
      <c r="U201" s="32" t="str">
        <f t="shared" si="82"/>
        <v>PR</v>
      </c>
      <c r="V201" s="32">
        <f t="shared" si="83"/>
        <v>30</v>
      </c>
      <c r="W201" s="32" t="s">
        <v>107</v>
      </c>
      <c r="X201" s="32">
        <v>9</v>
      </c>
      <c r="Y201" s="32" t="s">
        <v>74</v>
      </c>
      <c r="Z201" s="32" t="s">
        <v>75</v>
      </c>
      <c r="AA201" s="29">
        <f>IF(ISNA(VLOOKUP($Q201,data,5,FALSE)),0,VLOOKUP($Q201,data,5,FALSE))*0.2</f>
        <v>0.10460000000000001</v>
      </c>
      <c r="AB201" s="29">
        <f>IF(ISNA(VLOOKUP($Q201,data,7,FALSE)),0,VLOOKUP($Q201,data,7,FALSE))*0.2</f>
        <v>4.1106000000000007</v>
      </c>
      <c r="AC201" s="29">
        <f>IF(ISNA(VLOOKUP($Q201,data,6,FALSE)),0,VLOOKUP($Q201,data,6,FALSE))*0.2</f>
        <v>4.0206000000000008</v>
      </c>
      <c r="AD201" s="29">
        <f t="shared" si="76"/>
        <v>0</v>
      </c>
      <c r="AE201" s="29">
        <f>IF(ISNA(VLOOKUP($Q201,data,13,FALSE)),0,VLOOKUP($Q201,data,13,FALSE))*0.2</f>
        <v>0.1946</v>
      </c>
      <c r="AF201" s="29">
        <f>IF(ISNA(VLOOKUP($Q201,data,9,FALSE)),0,VLOOKUP($Q201,data,9,FALSE))*0.2</f>
        <v>995.50200000000007</v>
      </c>
      <c r="AG201" s="29">
        <f>IF(ISNA(VLOOKUP($Q201,data,10,FALSE)),0,VLOOKUP($Q201,data,10,FALSE))*0.2</f>
        <v>0.80200000000000005</v>
      </c>
      <c r="AH201" s="29">
        <f>IF(ISNA(VLOOKUP($Q201,data,11,FALSE)),0,VLOOKUP($Q201,data,11,FALSE))*0.2</f>
        <v>84.072400000000016</v>
      </c>
      <c r="AI201" s="29">
        <f t="shared" si="80"/>
        <v>0</v>
      </c>
      <c r="AJ201" s="29">
        <f>IF(ISNA(VLOOKUP($Q201,data,8,FALSE)),0,VLOOKUP($Q201,data,8,FALSE))*0.2</f>
        <v>910.62760000000003</v>
      </c>
      <c r="AK201" s="34">
        <f>'Report Inputs'!$F$2</f>
        <v>55.9</v>
      </c>
      <c r="AL201" s="29">
        <f>'Report Inputs'!$E$2</f>
        <v>1080</v>
      </c>
      <c r="AM201" s="29">
        <f>IF(ISNA(VLOOKUP($Q201,data,14,FALSE)),0,VLOOKUP($Q201,data,14,FALSE))*0.2</f>
        <v>24.489400000000003</v>
      </c>
      <c r="AN201" s="32" t="s">
        <v>744</v>
      </c>
      <c r="AS201" s="32" t="s">
        <v>76</v>
      </c>
      <c r="AT201" s="32" t="s">
        <v>77</v>
      </c>
      <c r="AU201" s="32" t="s">
        <v>78</v>
      </c>
      <c r="AV201" s="35">
        <f t="shared" ca="1" si="79"/>
        <v>42376.365370833337</v>
      </c>
    </row>
    <row r="202" spans="1:48" s="32" customFormat="1">
      <c r="A202" s="32">
        <v>7</v>
      </c>
      <c r="B202" s="32">
        <f>MONTH('Report Inputs'!$B$2)</f>
        <v>11</v>
      </c>
      <c r="C202" s="32">
        <f>YEAR('Report Inputs'!$B$2)</f>
        <v>2015</v>
      </c>
      <c r="D202" s="32">
        <v>66571</v>
      </c>
      <c r="F202" s="32" t="s">
        <v>65</v>
      </c>
      <c r="G202" s="32" t="s">
        <v>66</v>
      </c>
      <c r="H202" s="32" t="s">
        <v>67</v>
      </c>
      <c r="I202" s="32" t="s">
        <v>68</v>
      </c>
      <c r="J202" s="32" t="s">
        <v>69</v>
      </c>
      <c r="K202" s="32">
        <v>713</v>
      </c>
      <c r="L202" s="32" t="s">
        <v>70</v>
      </c>
      <c r="M202" s="32">
        <v>713</v>
      </c>
      <c r="N202" s="32" t="s">
        <v>71</v>
      </c>
      <c r="O202" s="32" t="s">
        <v>72</v>
      </c>
      <c r="P202" s="32">
        <v>45</v>
      </c>
      <c r="Q202" s="33">
        <v>16020</v>
      </c>
      <c r="R202" s="32">
        <v>0</v>
      </c>
      <c r="S202" s="32" t="s">
        <v>693</v>
      </c>
      <c r="T202" s="32" t="s">
        <v>80</v>
      </c>
      <c r="U202" s="32" t="str">
        <f t="shared" si="82"/>
        <v>PR</v>
      </c>
      <c r="V202" s="32">
        <f t="shared" si="83"/>
        <v>30</v>
      </c>
      <c r="W202" s="32" t="s">
        <v>107</v>
      </c>
      <c r="X202" s="32">
        <v>9</v>
      </c>
      <c r="Y202" s="32" t="s">
        <v>74</v>
      </c>
      <c r="Z202" s="32" t="s">
        <v>75</v>
      </c>
      <c r="AA202" s="29">
        <f>IF(ISNA(VLOOKUP($Q202,data,5,FALSE)),0,VLOOKUP($Q202,data,5,FALSE))*0.6</f>
        <v>0.31380000000000002</v>
      </c>
      <c r="AB202" s="29">
        <f>IF(ISNA(VLOOKUP($Q202,data,7,FALSE)),0,VLOOKUP($Q202,data,7,FALSE))*0.6</f>
        <v>12.331799999999999</v>
      </c>
      <c r="AC202" s="29">
        <f>IF(ISNA(VLOOKUP($Q202,data,6,FALSE)),0,VLOOKUP($Q202,data,6,FALSE))*0.6</f>
        <v>12.0618</v>
      </c>
      <c r="AD202" s="29">
        <f t="shared" si="76"/>
        <v>1</v>
      </c>
      <c r="AE202" s="29">
        <f>IF(ISNA(VLOOKUP($Q202,data,13,FALSE)),0,VLOOKUP($Q202,data,13,FALSE))*0.6</f>
        <v>0.58379999999999999</v>
      </c>
      <c r="AF202" s="29">
        <f>IF(ISNA(VLOOKUP($Q202,data,9,FALSE)),0,VLOOKUP($Q202,data,9,FALSE))*0.6</f>
        <v>2986.5059999999999</v>
      </c>
      <c r="AG202" s="29">
        <f>IF(ISNA(VLOOKUP($Q202,data,10,FALSE)),0,VLOOKUP($Q202,data,10,FALSE))*0.6</f>
        <v>2.4059999999999997</v>
      </c>
      <c r="AH202" s="29">
        <v>253</v>
      </c>
      <c r="AI202" s="29">
        <f t="shared" si="80"/>
        <v>0</v>
      </c>
      <c r="AJ202" s="29">
        <f>IF(ISNA(VLOOKUP($Q202,data,8,FALSE)),0,VLOOKUP($Q202,data,8,FALSE))*0.6</f>
        <v>2731.8827999999999</v>
      </c>
      <c r="AK202" s="34">
        <f>'Report Inputs'!$F$2</f>
        <v>55.9</v>
      </c>
      <c r="AL202" s="29">
        <f>'Report Inputs'!$E$2</f>
        <v>1080</v>
      </c>
      <c r="AM202" s="29">
        <f>IF(ISNA(VLOOKUP($Q202,data,14,FALSE)),0,VLOOKUP($Q202,data,14,FALSE))*0.6</f>
        <v>73.468199999999996</v>
      </c>
      <c r="AN202" s="32" t="s">
        <v>744</v>
      </c>
      <c r="AS202" s="32" t="s">
        <v>76</v>
      </c>
      <c r="AT202" s="32" t="s">
        <v>77</v>
      </c>
      <c r="AU202" s="32" t="s">
        <v>78</v>
      </c>
      <c r="AV202" s="35">
        <f t="shared" ca="1" si="79"/>
        <v>42376.365370833337</v>
      </c>
    </row>
    <row r="203" spans="1:48">
      <c r="A203" s="26">
        <v>7</v>
      </c>
      <c r="B203" s="26">
        <f>MONTH('Report Inputs'!$B$2)</f>
        <v>11</v>
      </c>
      <c r="C203" s="26">
        <f>YEAR('Report Inputs'!$B$2)</f>
        <v>2015</v>
      </c>
      <c r="D203" s="26">
        <v>66571</v>
      </c>
      <c r="F203" s="26" t="s">
        <v>65</v>
      </c>
      <c r="G203" s="26" t="s">
        <v>66</v>
      </c>
      <c r="H203" s="26" t="s">
        <v>67</v>
      </c>
      <c r="I203" s="26" t="s">
        <v>68</v>
      </c>
      <c r="J203" s="26" t="s">
        <v>69</v>
      </c>
      <c r="K203" s="26">
        <v>713</v>
      </c>
      <c r="L203" s="26" t="s">
        <v>70</v>
      </c>
      <c r="M203" s="26">
        <v>713</v>
      </c>
      <c r="N203" s="26" t="s">
        <v>71</v>
      </c>
      <c r="O203" s="26" t="s">
        <v>72</v>
      </c>
      <c r="P203" s="26">
        <v>45</v>
      </c>
      <c r="Q203" s="27">
        <v>16159</v>
      </c>
      <c r="R203" s="26">
        <v>0</v>
      </c>
      <c r="S203" s="26" t="s">
        <v>995</v>
      </c>
      <c r="T203" s="26" t="s">
        <v>80</v>
      </c>
      <c r="U203" s="26" t="str">
        <f t="shared" si="82"/>
        <v>PR</v>
      </c>
      <c r="V203" s="26">
        <f t="shared" si="83"/>
        <v>30</v>
      </c>
      <c r="W203" s="26" t="s">
        <v>1008</v>
      </c>
      <c r="X203" s="26">
        <v>3</v>
      </c>
      <c r="Y203" s="26" t="s">
        <v>194</v>
      </c>
      <c r="Z203" s="26" t="s">
        <v>75</v>
      </c>
      <c r="AA203" s="28">
        <f>IF(ISNA(VLOOKUP($Q203,data,5,FALSE)),0,VLOOKUP($Q203,data,5,FALSE))</f>
        <v>1.23</v>
      </c>
      <c r="AB203" s="28">
        <f>IF(ISNA(VLOOKUP($Q203,data,7,FALSE)),0,VLOOKUP($Q203,data,7,FALSE))</f>
        <v>18.888999999999999</v>
      </c>
      <c r="AC203" s="28">
        <f>IF(ISNA(VLOOKUP($Q203,data,6,FALSE)),0,VLOOKUP($Q203,data,6,FALSE))</f>
        <v>18.925000000000001</v>
      </c>
      <c r="AD203" s="28">
        <f t="shared" si="76"/>
        <v>0</v>
      </c>
      <c r="AE203" s="28">
        <f>IF(ISNA(VLOOKUP($Q203,data,13,FALSE)),0,VLOOKUP($Q203,data,13,FALSE))</f>
        <v>1.194</v>
      </c>
      <c r="AF203" s="28">
        <f t="shared" ref="AF203:AF212" si="84">IF(ISNA(VLOOKUP($Q203,data,9,FALSE)),0,VLOOKUP($Q203,data,9,FALSE))</f>
        <v>10461.16</v>
      </c>
      <c r="AG203" s="28">
        <f t="shared" ref="AG203:AG259" si="85">IF(ISNA(VLOOKUP($Q203,data,10,FALSE)),0,VLOOKUP($Q203,data,10,FALSE))</f>
        <v>3.49</v>
      </c>
      <c r="AH203" s="28">
        <f t="shared" ref="AH203:AH206" si="86">IF(ISNA(VLOOKUP($Q203,data,11,FALSE)),0,VLOOKUP($Q203,data,11,FALSE))</f>
        <v>656.71</v>
      </c>
      <c r="AI203" s="28">
        <f t="shared" si="80"/>
        <v>0</v>
      </c>
      <c r="AJ203" s="28">
        <f t="shared" ref="AJ203:AJ267" si="87">IF(ISNA(VLOOKUP($Q203,data,8,FALSE)),0,VLOOKUP($Q203,data,8,FALSE))</f>
        <v>9800.9599999999991</v>
      </c>
      <c r="AK203" s="30">
        <f>'Report Inputs'!$F$2</f>
        <v>55.9</v>
      </c>
      <c r="AL203" s="28">
        <f>'Report Inputs'!$E$2</f>
        <v>1080</v>
      </c>
      <c r="AM203" s="28">
        <f>IF(ISNA(VLOOKUP($Q203,data,14,FALSE)),0,VLOOKUP($Q203,data,14,FALSE))</f>
        <v>45.843000000000004</v>
      </c>
      <c r="AN203" s="26" t="s">
        <v>744</v>
      </c>
      <c r="AS203" s="26" t="s">
        <v>76</v>
      </c>
      <c r="AT203" s="26" t="s">
        <v>77</v>
      </c>
      <c r="AU203" s="26" t="s">
        <v>78</v>
      </c>
      <c r="AV203" s="31">
        <f t="shared" ca="1" si="79"/>
        <v>42376.365370717591</v>
      </c>
    </row>
    <row r="204" spans="1:48">
      <c r="A204" s="26">
        <v>7</v>
      </c>
      <c r="B204" s="26">
        <f>MONTH('Report Inputs'!$B$2)</f>
        <v>11</v>
      </c>
      <c r="C204" s="26">
        <f>YEAR('Report Inputs'!$B$2)</f>
        <v>2015</v>
      </c>
      <c r="D204" s="26">
        <v>66571</v>
      </c>
      <c r="F204" s="26" t="s">
        <v>65</v>
      </c>
      <c r="G204" s="26" t="s">
        <v>66</v>
      </c>
      <c r="H204" s="26" t="s">
        <v>67</v>
      </c>
      <c r="I204" s="26" t="s">
        <v>68</v>
      </c>
      <c r="J204" s="26" t="s">
        <v>69</v>
      </c>
      <c r="K204" s="26">
        <v>713</v>
      </c>
      <c r="L204" s="26" t="s">
        <v>70</v>
      </c>
      <c r="M204" s="26">
        <v>713</v>
      </c>
      <c r="N204" s="26" t="s">
        <v>71</v>
      </c>
      <c r="O204" s="26" t="s">
        <v>72</v>
      </c>
      <c r="P204" s="26">
        <v>45</v>
      </c>
      <c r="Q204" s="27">
        <v>16226</v>
      </c>
      <c r="R204" s="26">
        <v>0</v>
      </c>
      <c r="S204" s="26" t="s">
        <v>643</v>
      </c>
      <c r="T204" s="26" t="s">
        <v>80</v>
      </c>
      <c r="U204" s="26" t="str">
        <f t="shared" si="82"/>
        <v>PR</v>
      </c>
      <c r="V204" s="26">
        <f t="shared" si="83"/>
        <v>3</v>
      </c>
      <c r="W204" s="26" t="s">
        <v>107</v>
      </c>
      <c r="X204" s="26">
        <v>9</v>
      </c>
      <c r="Y204" s="26" t="s">
        <v>74</v>
      </c>
      <c r="Z204" s="26" t="s">
        <v>75</v>
      </c>
      <c r="AA204" s="28">
        <f>IF(ISNA(VLOOKUP($Q204,data,5,FALSE)),0,VLOOKUP($Q204,data,5,FALSE))</f>
        <v>0</v>
      </c>
      <c r="AB204" s="28">
        <f>IF(ISNA(VLOOKUP($Q204,data,7,FALSE)),0,VLOOKUP($Q204,data,7,FALSE))</f>
        <v>5.8000000000000003E-2</v>
      </c>
      <c r="AC204" s="28">
        <f>IF(ISNA(VLOOKUP($Q204,data,6,FALSE)),0,VLOOKUP($Q204,data,6,FALSE))</f>
        <v>5.5E-2</v>
      </c>
      <c r="AD204" s="28">
        <f t="shared" si="76"/>
        <v>0</v>
      </c>
      <c r="AE204" s="28">
        <f>IF(ISNA(VLOOKUP($Q204,data,13,FALSE)),0,VLOOKUP($Q204,data,13,FALSE))</f>
        <v>3.0000000000000001E-3</v>
      </c>
      <c r="AF204" s="28">
        <f t="shared" si="84"/>
        <v>225.48</v>
      </c>
      <c r="AG204" s="28">
        <f t="shared" si="85"/>
        <v>0.01</v>
      </c>
      <c r="AH204" s="28">
        <v>212</v>
      </c>
      <c r="AI204" s="28">
        <f t="shared" si="80"/>
        <v>0</v>
      </c>
      <c r="AJ204" s="28">
        <f t="shared" si="87"/>
        <v>12.818</v>
      </c>
      <c r="AL204" s="28">
        <f>'Report Inputs'!$E$2</f>
        <v>1080</v>
      </c>
      <c r="AM204" s="28">
        <f>IF(ISNA(VLOOKUP($Q204,data,14,FALSE)),0,VLOOKUP($Q204,data,14,FALSE))</f>
        <v>0.34399999999999997</v>
      </c>
      <c r="AN204" s="26" t="s">
        <v>744</v>
      </c>
      <c r="AS204" s="26" t="s">
        <v>76</v>
      </c>
      <c r="AT204" s="26" t="s">
        <v>77</v>
      </c>
      <c r="AU204" s="26" t="s">
        <v>78</v>
      </c>
      <c r="AV204" s="31">
        <f t="shared" ca="1" si="79"/>
        <v>42376.365370833337</v>
      </c>
    </row>
    <row r="205" spans="1:48">
      <c r="A205" s="26">
        <v>7</v>
      </c>
      <c r="B205" s="26">
        <f>MONTH('Report Inputs'!$B$2)</f>
        <v>11</v>
      </c>
      <c r="C205" s="26">
        <f>YEAR('Report Inputs'!$B$2)</f>
        <v>2015</v>
      </c>
      <c r="D205" s="26">
        <v>66571</v>
      </c>
      <c r="F205" s="26" t="s">
        <v>65</v>
      </c>
      <c r="G205" s="26" t="s">
        <v>66</v>
      </c>
      <c r="H205" s="26" t="s">
        <v>67</v>
      </c>
      <c r="I205" s="26" t="s">
        <v>68</v>
      </c>
      <c r="J205" s="26" t="s">
        <v>69</v>
      </c>
      <c r="K205" s="26">
        <v>713</v>
      </c>
      <c r="L205" s="26" t="s">
        <v>70</v>
      </c>
      <c r="M205" s="26">
        <v>713</v>
      </c>
      <c r="N205" s="26" t="s">
        <v>71</v>
      </c>
      <c r="O205" s="26" t="s">
        <v>72</v>
      </c>
      <c r="P205" s="26">
        <v>45</v>
      </c>
      <c r="Q205" s="27">
        <v>16228</v>
      </c>
      <c r="R205" s="26">
        <v>0</v>
      </c>
      <c r="S205" s="26" t="s">
        <v>309</v>
      </c>
      <c r="T205" s="26" t="s">
        <v>80</v>
      </c>
      <c r="U205" s="26" t="str">
        <f t="shared" si="82"/>
        <v>PR</v>
      </c>
      <c r="V205" s="26">
        <f t="shared" si="83"/>
        <v>30</v>
      </c>
      <c r="W205" s="26" t="s">
        <v>107</v>
      </c>
      <c r="X205" s="26">
        <v>9</v>
      </c>
      <c r="Y205" s="26" t="s">
        <v>74</v>
      </c>
      <c r="Z205" s="26" t="s">
        <v>75</v>
      </c>
      <c r="AA205" s="28">
        <f>IF(ISNA(VLOOKUP($Q205,data,5,FALSE)),0,VLOOKUP($Q205,data,5,FALSE))</f>
        <v>0.44700000000000001</v>
      </c>
      <c r="AB205" s="28">
        <f>IF(ISNA(VLOOKUP($Q205,data,7,FALSE)),0,VLOOKUP($Q205,data,7,FALSE))</f>
        <v>17.456</v>
      </c>
      <c r="AC205" s="28">
        <f>IF(ISNA(VLOOKUP($Q205,data,6,FALSE)),0,VLOOKUP($Q205,data,6,FALSE))</f>
        <v>17.077999999999999</v>
      </c>
      <c r="AD205" s="28">
        <f t="shared" si="76"/>
        <v>1</v>
      </c>
      <c r="AE205" s="28">
        <f>IF(ISNA(VLOOKUP($Q205,data,13,FALSE)),0,VLOOKUP($Q205,data,13,FALSE))</f>
        <v>0.82499999999999996</v>
      </c>
      <c r="AF205" s="28">
        <f t="shared" si="84"/>
        <v>4258.08</v>
      </c>
      <c r="AG205" s="28">
        <f t="shared" si="85"/>
        <v>3.41</v>
      </c>
      <c r="AH205" s="28">
        <f t="shared" si="86"/>
        <v>387.51100000000002</v>
      </c>
      <c r="AI205" s="28">
        <f t="shared" si="80"/>
        <v>0</v>
      </c>
      <c r="AJ205" s="28">
        <f t="shared" si="87"/>
        <v>3867.1590000000001</v>
      </c>
      <c r="AK205" s="30">
        <f>'Report Inputs'!$F$2</f>
        <v>55.9</v>
      </c>
      <c r="AL205" s="28">
        <f>'Report Inputs'!$E$2</f>
        <v>1080</v>
      </c>
      <c r="AM205" s="28">
        <f>IF(ISNA(VLOOKUP($Q205,data,14,FALSE)),0,VLOOKUP($Q205,data,14,FALSE))</f>
        <v>104</v>
      </c>
      <c r="AN205" s="26" t="s">
        <v>744</v>
      </c>
      <c r="AS205" s="26" t="s">
        <v>76</v>
      </c>
      <c r="AT205" s="26" t="s">
        <v>77</v>
      </c>
      <c r="AU205" s="26" t="s">
        <v>78</v>
      </c>
      <c r="AV205" s="31">
        <f t="shared" ca="1" si="79"/>
        <v>42376.365370833337</v>
      </c>
    </row>
    <row r="206" spans="1:48">
      <c r="A206" s="26">
        <v>7</v>
      </c>
      <c r="B206" s="26">
        <f>MONTH('Report Inputs'!$B$2)</f>
        <v>11</v>
      </c>
      <c r="C206" s="26">
        <f>YEAR('Report Inputs'!$B$2)</f>
        <v>2015</v>
      </c>
      <c r="D206" s="26">
        <v>66571</v>
      </c>
      <c r="F206" s="26" t="s">
        <v>65</v>
      </c>
      <c r="G206" s="26" t="s">
        <v>66</v>
      </c>
      <c r="H206" s="26" t="s">
        <v>67</v>
      </c>
      <c r="I206" s="26" t="s">
        <v>68</v>
      </c>
      <c r="J206" s="26" t="s">
        <v>69</v>
      </c>
      <c r="K206" s="26">
        <v>713</v>
      </c>
      <c r="L206" s="26" t="s">
        <v>70</v>
      </c>
      <c r="M206" s="26">
        <v>713</v>
      </c>
      <c r="N206" s="26" t="s">
        <v>71</v>
      </c>
      <c r="O206" s="26" t="s">
        <v>72</v>
      </c>
      <c r="P206" s="26">
        <v>45</v>
      </c>
      <c r="Q206" s="27">
        <v>16229</v>
      </c>
      <c r="R206" s="26">
        <v>0</v>
      </c>
      <c r="S206" s="26" t="s">
        <v>306</v>
      </c>
      <c r="T206" s="26" t="s">
        <v>80</v>
      </c>
      <c r="U206" s="26" t="str">
        <f t="shared" si="82"/>
        <v>PR</v>
      </c>
      <c r="V206" s="26">
        <f t="shared" si="83"/>
        <v>30</v>
      </c>
      <c r="W206" s="26" t="s">
        <v>107</v>
      </c>
      <c r="X206" s="26">
        <v>9</v>
      </c>
      <c r="Y206" s="26" t="s">
        <v>74</v>
      </c>
      <c r="Z206" s="26" t="s">
        <v>75</v>
      </c>
      <c r="AA206" s="28">
        <f>IF(ISNA(VLOOKUP($Q206,data,5,FALSE)),0,VLOOKUP($Q206,data,5,FALSE))</f>
        <v>7.0000000000000001E-3</v>
      </c>
      <c r="AB206" s="28">
        <f>IF(ISNA(VLOOKUP($Q206,data,7,FALSE)),0,VLOOKUP($Q206,data,7,FALSE))</f>
        <v>0.3</v>
      </c>
      <c r="AC206" s="28">
        <f>IF(ISNA(VLOOKUP($Q206,data,6,FALSE)),0,VLOOKUP($Q206,data,6,FALSE))</f>
        <v>0.29399999999999998</v>
      </c>
      <c r="AD206" s="28">
        <f t="shared" si="76"/>
        <v>0</v>
      </c>
      <c r="AE206" s="28">
        <f>IF(ISNA(VLOOKUP($Q206,data,13,FALSE)),0,VLOOKUP($Q206,data,13,FALSE))</f>
        <v>1.2999999999999999E-2</v>
      </c>
      <c r="AF206" s="28">
        <f t="shared" si="84"/>
        <v>281.73</v>
      </c>
      <c r="AG206" s="28">
        <f t="shared" si="85"/>
        <v>0.06</v>
      </c>
      <c r="AH206" s="28">
        <f t="shared" si="86"/>
        <v>215.09100000000001</v>
      </c>
      <c r="AI206" s="28">
        <f t="shared" si="80"/>
        <v>0</v>
      </c>
      <c r="AJ206" s="28">
        <f t="shared" si="87"/>
        <v>66.578999999999994</v>
      </c>
      <c r="AL206" s="28">
        <f>'Report Inputs'!$E$2</f>
        <v>1080</v>
      </c>
      <c r="AM206" s="28">
        <f>IF(ISNA(VLOOKUP($Q206,data,14,FALSE)),0,VLOOKUP($Q206,data,14,FALSE))</f>
        <v>1.7909999999999999</v>
      </c>
      <c r="AN206" s="26" t="s">
        <v>744</v>
      </c>
      <c r="AS206" s="26" t="s">
        <v>76</v>
      </c>
      <c r="AT206" s="26" t="s">
        <v>77</v>
      </c>
      <c r="AU206" s="26" t="s">
        <v>78</v>
      </c>
      <c r="AV206" s="31">
        <f t="shared" ca="1" si="79"/>
        <v>42376.365370833337</v>
      </c>
    </row>
    <row r="207" spans="1:48">
      <c r="A207" s="26">
        <v>7</v>
      </c>
      <c r="B207" s="26">
        <f>MONTH('Report Inputs'!$B$2)</f>
        <v>11</v>
      </c>
      <c r="C207" s="26">
        <f>YEAR('Report Inputs'!$B$2)</f>
        <v>2015</v>
      </c>
      <c r="D207" s="26">
        <v>66571</v>
      </c>
      <c r="F207" s="26" t="s">
        <v>65</v>
      </c>
      <c r="G207" s="26" t="s">
        <v>66</v>
      </c>
      <c r="H207" s="26" t="s">
        <v>67</v>
      </c>
      <c r="I207" s="26" t="s">
        <v>68</v>
      </c>
      <c r="J207" s="26" t="s">
        <v>69</v>
      </c>
      <c r="K207" s="26">
        <v>713</v>
      </c>
      <c r="L207" s="26" t="s">
        <v>70</v>
      </c>
      <c r="M207" s="26">
        <v>713</v>
      </c>
      <c r="N207" s="26" t="s">
        <v>71</v>
      </c>
      <c r="O207" s="26" t="s">
        <v>72</v>
      </c>
      <c r="P207" s="26">
        <v>45</v>
      </c>
      <c r="Q207" s="27">
        <v>16230</v>
      </c>
      <c r="R207" s="26">
        <v>0</v>
      </c>
      <c r="S207" s="26" t="s">
        <v>308</v>
      </c>
      <c r="T207" s="26" t="s">
        <v>80</v>
      </c>
      <c r="U207" s="26" t="str">
        <f t="shared" si="82"/>
        <v>PR</v>
      </c>
      <c r="V207" s="26">
        <f t="shared" si="83"/>
        <v>30</v>
      </c>
      <c r="W207" s="26" t="s">
        <v>107</v>
      </c>
      <c r="X207" s="26">
        <v>9</v>
      </c>
      <c r="Y207" s="26" t="s">
        <v>74</v>
      </c>
      <c r="Z207" s="26" t="s">
        <v>75</v>
      </c>
      <c r="AA207" s="28">
        <f>IF(ISNA(VLOOKUP($Q207,data,5,FALSE)),0,VLOOKUP($Q207,data,5,FALSE))</f>
        <v>3.0000000000000001E-3</v>
      </c>
      <c r="AB207" s="28">
        <f>IF(ISNA(VLOOKUP($Q207,data,7,FALSE)),0,VLOOKUP($Q207,data,7,FALSE))</f>
        <v>0.14799999999999999</v>
      </c>
      <c r="AC207" s="28">
        <f>IF(ISNA(VLOOKUP($Q207,data,6,FALSE)),0,VLOOKUP($Q207,data,6,FALSE))</f>
        <v>0.14399999999999999</v>
      </c>
      <c r="AD207" s="28">
        <f t="shared" si="76"/>
        <v>0</v>
      </c>
      <c r="AE207" s="28">
        <f>IF(ISNA(VLOOKUP($Q207,data,13,FALSE)),0,VLOOKUP($Q207,data,13,FALSE))</f>
        <v>7.0000000000000001E-3</v>
      </c>
      <c r="AF207" s="28">
        <f t="shared" si="84"/>
        <v>246.3</v>
      </c>
      <c r="AG207" s="28">
        <f t="shared" si="85"/>
        <v>0.03</v>
      </c>
      <c r="AH207" s="28">
        <v>213</v>
      </c>
      <c r="AI207" s="28">
        <f t="shared" si="80"/>
        <v>0</v>
      </c>
      <c r="AJ207" s="28">
        <f t="shared" si="87"/>
        <v>32.716000000000001</v>
      </c>
      <c r="AL207" s="28">
        <f>'Report Inputs'!$E$2</f>
        <v>1080</v>
      </c>
      <c r="AM207" s="28">
        <f>IF(ISNA(VLOOKUP($Q207,data,14,FALSE)),0,VLOOKUP($Q207,data,14,FALSE))</f>
        <v>0.879</v>
      </c>
      <c r="AN207" s="26" t="s">
        <v>744</v>
      </c>
      <c r="AS207" s="26" t="s">
        <v>76</v>
      </c>
      <c r="AT207" s="26" t="s">
        <v>77</v>
      </c>
      <c r="AU207" s="26" t="s">
        <v>78</v>
      </c>
      <c r="AV207" s="31">
        <f t="shared" ca="1" si="79"/>
        <v>42376.365370833337</v>
      </c>
    </row>
    <row r="208" spans="1:48" s="32" customFormat="1">
      <c r="A208" s="32">
        <v>7</v>
      </c>
      <c r="B208" s="32">
        <f>MONTH('Report Inputs'!$B$2)</f>
        <v>11</v>
      </c>
      <c r="C208" s="32">
        <f>YEAR('Report Inputs'!$B$2)</f>
        <v>2015</v>
      </c>
      <c r="D208" s="32">
        <v>66571</v>
      </c>
      <c r="F208" s="32" t="s">
        <v>65</v>
      </c>
      <c r="G208" s="32" t="s">
        <v>66</v>
      </c>
      <c r="H208" s="32" t="s">
        <v>67</v>
      </c>
      <c r="I208" s="32" t="s">
        <v>68</v>
      </c>
      <c r="J208" s="32" t="s">
        <v>69</v>
      </c>
      <c r="K208" s="32">
        <v>713</v>
      </c>
      <c r="L208" s="32" t="s">
        <v>70</v>
      </c>
      <c r="M208" s="32">
        <v>713</v>
      </c>
      <c r="N208" s="32" t="s">
        <v>71</v>
      </c>
      <c r="O208" s="32" t="s">
        <v>72</v>
      </c>
      <c r="P208" s="32">
        <v>45</v>
      </c>
      <c r="Q208" s="33">
        <v>16837</v>
      </c>
      <c r="R208" s="32">
        <v>0</v>
      </c>
      <c r="S208" s="32" t="s">
        <v>828</v>
      </c>
      <c r="T208" s="32" t="s">
        <v>681</v>
      </c>
      <c r="U208" s="32" t="str">
        <f t="shared" si="82"/>
        <v>PR</v>
      </c>
      <c r="V208" s="32">
        <f t="shared" si="83"/>
        <v>30</v>
      </c>
      <c r="W208" s="32" t="s">
        <v>126</v>
      </c>
      <c r="X208" s="32">
        <v>17</v>
      </c>
      <c r="Y208" s="32" t="s">
        <v>194</v>
      </c>
      <c r="Z208" s="32" t="s">
        <v>286</v>
      </c>
      <c r="AA208" s="29">
        <f>IF(ISNA(VLOOKUP($Q208,data,5,FALSE)),0,VLOOKUP($Q208,data,5,FALSE))*0.2</f>
        <v>17.2196</v>
      </c>
      <c r="AB208" s="29">
        <f>IF(ISNA(VLOOKUP($Q208,data,7,FALSE)),0,VLOOKUP($Q208,data,7,FALSE))*0.2</f>
        <v>3.3445999999999998</v>
      </c>
      <c r="AC208" s="29">
        <f>IF(ISNA(VLOOKUP($Q208,data,6,FALSE)),0,VLOOKUP($Q208,data,6,FALSE))*0.2</f>
        <v>3.3456000000000006</v>
      </c>
      <c r="AD208" s="29">
        <f t="shared" si="76"/>
        <v>0</v>
      </c>
      <c r="AE208" s="29">
        <f>IF(ISNA(VLOOKUP($Q208,data,13,FALSE)),0,VLOOKUP($Q208,data,13,FALSE))*0.2</f>
        <v>17.218600000000002</v>
      </c>
      <c r="AF208" s="29">
        <f>IF(ISNA(VLOOKUP($Q208,data,9,FALSE)),0,VLOOKUP($Q208,data,9,FALSE))*0.2</f>
        <v>3084.4500000000003</v>
      </c>
      <c r="AG208" s="29">
        <f>IF(ISNA(VLOOKUP($Q208,data,10,FALSE)),0,VLOOKUP($Q208,data,10,FALSE))*0.2</f>
        <v>0</v>
      </c>
      <c r="AH208" s="29">
        <v>187</v>
      </c>
      <c r="AI208" s="29">
        <f t="shared" si="80"/>
        <v>0</v>
      </c>
      <c r="AJ208" s="29">
        <f>IF(ISNA(VLOOKUP($Q208,data,8,FALSE)),0,VLOOKUP($Q208,data,8,FALSE))*0.2</f>
        <v>2896.5140000000001</v>
      </c>
      <c r="AK208" s="34">
        <f>'Report Inputs'!$F$2</f>
        <v>55.9</v>
      </c>
      <c r="AL208" s="29">
        <f>'Report Inputs'!$E$2</f>
        <v>1080</v>
      </c>
      <c r="AM208" s="29">
        <f>IF(ISNA(VLOOKUP($Q208,data,14,FALSE)),0,VLOOKUP($Q208,data,14,FALSE))*0.2</f>
        <v>192.53340000000003</v>
      </c>
      <c r="AN208" s="32" t="s">
        <v>744</v>
      </c>
      <c r="AS208" s="32" t="s">
        <v>76</v>
      </c>
      <c r="AT208" s="32" t="s">
        <v>77</v>
      </c>
      <c r="AU208" s="32" t="s">
        <v>78</v>
      </c>
      <c r="AV208" s="35">
        <f t="shared" ca="1" si="79"/>
        <v>42376.365370833337</v>
      </c>
    </row>
    <row r="209" spans="1:48" s="32" customFormat="1">
      <c r="A209" s="32">
        <v>7</v>
      </c>
      <c r="B209" s="32">
        <f>MONTH('Report Inputs'!$B$2)</f>
        <v>11</v>
      </c>
      <c r="C209" s="32">
        <f>YEAR('Report Inputs'!$B$2)</f>
        <v>2015</v>
      </c>
      <c r="D209" s="32">
        <v>66571</v>
      </c>
      <c r="F209" s="32" t="s">
        <v>65</v>
      </c>
      <c r="G209" s="32" t="s">
        <v>66</v>
      </c>
      <c r="H209" s="32" t="s">
        <v>67</v>
      </c>
      <c r="I209" s="32" t="s">
        <v>68</v>
      </c>
      <c r="J209" s="32" t="s">
        <v>69</v>
      </c>
      <c r="K209" s="32">
        <v>713</v>
      </c>
      <c r="L209" s="32" t="s">
        <v>70</v>
      </c>
      <c r="M209" s="32">
        <v>713</v>
      </c>
      <c r="N209" s="32" t="s">
        <v>71</v>
      </c>
      <c r="O209" s="32" t="s">
        <v>72</v>
      </c>
      <c r="P209" s="32">
        <v>45</v>
      </c>
      <c r="Q209" s="33">
        <v>16837</v>
      </c>
      <c r="R209" s="32">
        <v>0</v>
      </c>
      <c r="S209" s="32" t="s">
        <v>828</v>
      </c>
      <c r="T209" s="32" t="s">
        <v>694</v>
      </c>
      <c r="U209" s="32" t="str">
        <f t="shared" si="82"/>
        <v>PR</v>
      </c>
      <c r="V209" s="32">
        <f t="shared" si="83"/>
        <v>30</v>
      </c>
      <c r="W209" s="32" t="s">
        <v>126</v>
      </c>
      <c r="X209" s="32">
        <v>17</v>
      </c>
      <c r="Y209" s="32" t="s">
        <v>194</v>
      </c>
      <c r="Z209" s="32" t="s">
        <v>286</v>
      </c>
      <c r="AA209" s="29">
        <f>IF(ISNA(VLOOKUP($Q209,data,5,FALSE)),0,VLOOKUP($Q209,data,5,FALSE))*0.2</f>
        <v>17.2196</v>
      </c>
      <c r="AB209" s="29">
        <f>IF(ISNA(VLOOKUP($Q209,data,7,FALSE)),0,VLOOKUP($Q209,data,7,FALSE))*0.2</f>
        <v>3.3445999999999998</v>
      </c>
      <c r="AC209" s="29">
        <f>IF(ISNA(VLOOKUP($Q209,data,6,FALSE)),0,VLOOKUP($Q209,data,6,FALSE))*0.2</f>
        <v>3.3456000000000006</v>
      </c>
      <c r="AD209" s="29">
        <f t="shared" si="76"/>
        <v>0</v>
      </c>
      <c r="AE209" s="29">
        <f>IF(ISNA(VLOOKUP($Q209,data,13,FALSE)),0,VLOOKUP($Q209,data,13,FALSE))*0.2</f>
        <v>17.218600000000002</v>
      </c>
      <c r="AF209" s="29">
        <f>IF(ISNA(VLOOKUP($Q209,data,9,FALSE)),0,VLOOKUP($Q209,data,9,FALSE))*0.2</f>
        <v>3084.4500000000003</v>
      </c>
      <c r="AG209" s="29">
        <f>IF(ISNA(VLOOKUP($Q209,data,10,FALSE)),0,VLOOKUP($Q209,data,10,FALSE))*0.2</f>
        <v>0</v>
      </c>
      <c r="AH209" s="29">
        <v>187</v>
      </c>
      <c r="AI209" s="29">
        <f t="shared" si="80"/>
        <v>0</v>
      </c>
      <c r="AJ209" s="29">
        <f>IF(ISNA(VLOOKUP($Q209,data,8,FALSE)),0,VLOOKUP($Q209,data,8,FALSE))*0.2</f>
        <v>2896.5140000000001</v>
      </c>
      <c r="AK209" s="34">
        <f>'Report Inputs'!$F$2</f>
        <v>55.9</v>
      </c>
      <c r="AL209" s="29">
        <f>'Report Inputs'!$E$2</f>
        <v>1080</v>
      </c>
      <c r="AM209" s="29">
        <f>IF(ISNA(VLOOKUP($Q209,data,14,FALSE)),0,VLOOKUP($Q209,data,14,FALSE))*0.2</f>
        <v>192.53340000000003</v>
      </c>
      <c r="AN209" s="32" t="s">
        <v>744</v>
      </c>
      <c r="AS209" s="32" t="s">
        <v>76</v>
      </c>
      <c r="AT209" s="32" t="s">
        <v>77</v>
      </c>
      <c r="AU209" s="32" t="s">
        <v>78</v>
      </c>
      <c r="AV209" s="35">
        <f t="shared" ca="1" si="79"/>
        <v>42376.365370833337</v>
      </c>
    </row>
    <row r="210" spans="1:48" s="32" customFormat="1">
      <c r="A210" s="32">
        <v>7</v>
      </c>
      <c r="B210" s="32">
        <f>MONTH('Report Inputs'!$B$2)</f>
        <v>11</v>
      </c>
      <c r="C210" s="32">
        <f>YEAR('Report Inputs'!$B$2)</f>
        <v>2015</v>
      </c>
      <c r="D210" s="32">
        <v>66571</v>
      </c>
      <c r="F210" s="32" t="s">
        <v>65</v>
      </c>
      <c r="G210" s="32" t="s">
        <v>66</v>
      </c>
      <c r="H210" s="32" t="s">
        <v>67</v>
      </c>
      <c r="I210" s="32" t="s">
        <v>68</v>
      </c>
      <c r="J210" s="32" t="s">
        <v>69</v>
      </c>
      <c r="K210" s="32">
        <v>713</v>
      </c>
      <c r="L210" s="32" t="s">
        <v>70</v>
      </c>
      <c r="M210" s="32">
        <v>713</v>
      </c>
      <c r="N210" s="32" t="s">
        <v>71</v>
      </c>
      <c r="O210" s="32" t="s">
        <v>72</v>
      </c>
      <c r="P210" s="32">
        <v>45</v>
      </c>
      <c r="Q210" s="33">
        <v>16837</v>
      </c>
      <c r="R210" s="32">
        <v>0</v>
      </c>
      <c r="S210" s="32" t="s">
        <v>829</v>
      </c>
      <c r="T210" s="32" t="s">
        <v>80</v>
      </c>
      <c r="U210" s="32" t="str">
        <f t="shared" si="82"/>
        <v>PR</v>
      </c>
      <c r="V210" s="32">
        <f t="shared" si="83"/>
        <v>30</v>
      </c>
      <c r="W210" s="32" t="s">
        <v>126</v>
      </c>
      <c r="X210" s="32">
        <v>17</v>
      </c>
      <c r="Y210" s="32" t="s">
        <v>194</v>
      </c>
      <c r="Z210" s="32" t="s">
        <v>286</v>
      </c>
      <c r="AA210" s="29">
        <f>IF(ISNA(VLOOKUP($Q210,data,5,FALSE)),0,VLOOKUP($Q210,data,5,FALSE))*0.6</f>
        <v>51.658799999999999</v>
      </c>
      <c r="AB210" s="29">
        <f>IF(ISNA(VLOOKUP($Q210,data,7,FALSE)),0,VLOOKUP($Q210,data,7,FALSE))*0.6</f>
        <v>10.033799999999999</v>
      </c>
      <c r="AC210" s="29">
        <f>IF(ISNA(VLOOKUP($Q210,data,6,FALSE)),0,VLOOKUP($Q210,data,6,FALSE))*0.6</f>
        <v>10.036800000000001</v>
      </c>
      <c r="AD210" s="29">
        <f t="shared" si="76"/>
        <v>0</v>
      </c>
      <c r="AE210" s="29">
        <f>IF(ISNA(VLOOKUP($Q210,data,13,FALSE)),0,VLOOKUP($Q210,data,13,FALSE))*0.6</f>
        <v>51.655799999999999</v>
      </c>
      <c r="AF210" s="29">
        <f>IF(ISNA(VLOOKUP($Q210,data,9,FALSE)),0,VLOOKUP($Q210,data,9,FALSE))*0.6</f>
        <v>9253.35</v>
      </c>
      <c r="AG210" s="29">
        <f>IF(ISNA(VLOOKUP($Q210,data,10,FALSE)),0,VLOOKUP($Q210,data,10,FALSE))*0.6</f>
        <v>0</v>
      </c>
      <c r="AH210" s="29">
        <v>563</v>
      </c>
      <c r="AI210" s="29">
        <f t="shared" si="80"/>
        <v>0</v>
      </c>
      <c r="AJ210" s="29">
        <f>IF(ISNA(VLOOKUP($Q210,data,8,FALSE)),0,VLOOKUP($Q210,data,8,FALSE))*0.6</f>
        <v>8689.5419999999995</v>
      </c>
      <c r="AK210" s="34">
        <f>'Report Inputs'!$F$2</f>
        <v>55.9</v>
      </c>
      <c r="AL210" s="29">
        <f>'Report Inputs'!$E$2</f>
        <v>1080</v>
      </c>
      <c r="AM210" s="29">
        <f>IF(ISNA(VLOOKUP($Q210,data,14,FALSE)),0,VLOOKUP($Q210,data,14,FALSE))*0.6</f>
        <v>577.60019999999997</v>
      </c>
      <c r="AN210" s="32" t="s">
        <v>744</v>
      </c>
      <c r="AS210" s="32" t="s">
        <v>76</v>
      </c>
      <c r="AT210" s="32" t="s">
        <v>77</v>
      </c>
      <c r="AU210" s="32" t="s">
        <v>78</v>
      </c>
      <c r="AV210" s="35">
        <f t="shared" ca="1" si="79"/>
        <v>42376.365370833337</v>
      </c>
    </row>
    <row r="211" spans="1:48">
      <c r="A211" s="26">
        <v>7</v>
      </c>
      <c r="B211" s="26">
        <f>MONTH('Report Inputs'!$B$2)</f>
        <v>11</v>
      </c>
      <c r="C211" s="26">
        <f>YEAR('Report Inputs'!$B$2)</f>
        <v>2015</v>
      </c>
      <c r="D211" s="26">
        <v>66571</v>
      </c>
      <c r="F211" s="26" t="s">
        <v>65</v>
      </c>
      <c r="G211" s="26" t="s">
        <v>66</v>
      </c>
      <c r="H211" s="26" t="s">
        <v>67</v>
      </c>
      <c r="I211" s="26" t="s">
        <v>68</v>
      </c>
      <c r="J211" s="26" t="s">
        <v>69</v>
      </c>
      <c r="K211" s="26">
        <v>713</v>
      </c>
      <c r="L211" s="26" t="s">
        <v>70</v>
      </c>
      <c r="M211" s="26">
        <v>713</v>
      </c>
      <c r="N211" s="26" t="s">
        <v>71</v>
      </c>
      <c r="O211" s="26" t="s">
        <v>72</v>
      </c>
      <c r="P211" s="26">
        <v>45</v>
      </c>
      <c r="Q211" s="27">
        <v>16838</v>
      </c>
      <c r="R211" s="26">
        <v>0</v>
      </c>
      <c r="S211" s="26" t="s">
        <v>289</v>
      </c>
      <c r="T211" s="26" t="s">
        <v>80</v>
      </c>
      <c r="U211" s="26" t="str">
        <f t="shared" si="82"/>
        <v>PR</v>
      </c>
      <c r="V211" s="26">
        <f t="shared" si="83"/>
        <v>29</v>
      </c>
      <c r="W211" s="26" t="s">
        <v>115</v>
      </c>
      <c r="X211" s="26">
        <v>16</v>
      </c>
      <c r="Y211" s="26" t="s">
        <v>194</v>
      </c>
      <c r="Z211" s="26" t="s">
        <v>286</v>
      </c>
      <c r="AA211" s="28">
        <f>IF(ISNA(VLOOKUP($Q211,data,5,FALSE)),0,VLOOKUP($Q211,data,5,FALSE))</f>
        <v>45.917999999999999</v>
      </c>
      <c r="AB211" s="28">
        <f>IF(ISNA(VLOOKUP($Q211,data,7,FALSE)),0,VLOOKUP($Q211,data,7,FALSE))</f>
        <v>15.801</v>
      </c>
      <c r="AC211" s="28">
        <f>IF(ISNA(VLOOKUP($Q211,data,6,FALSE)),0,VLOOKUP($Q211,data,6,FALSE))</f>
        <v>15.632</v>
      </c>
      <c r="AD211" s="28">
        <f t="shared" si="76"/>
        <v>0</v>
      </c>
      <c r="AE211" s="28">
        <f>IF(ISNA(VLOOKUP($Q211,data,13,FALSE)),0,VLOOKUP($Q211,data,13,FALSE))</f>
        <v>46.087000000000003</v>
      </c>
      <c r="AF211" s="28">
        <f t="shared" si="84"/>
        <v>7537.15</v>
      </c>
      <c r="AG211" s="28">
        <f t="shared" si="85"/>
        <v>0</v>
      </c>
      <c r="AH211" s="28">
        <f>IF(ISNA(VLOOKUP($Q211,data,11,FALSE)),0,VLOOKUP($Q211,data,11,FALSE))</f>
        <v>597.48199999999997</v>
      </c>
      <c r="AI211" s="28">
        <f t="shared" si="80"/>
        <v>0</v>
      </c>
      <c r="AJ211" s="28">
        <f>IF(ISNA(VLOOKUP($Q211,data,8,FALSE)),0,VLOOKUP($Q211,data,8,FALSE))</f>
        <v>6939.6679999999997</v>
      </c>
      <c r="AK211" s="30">
        <f>'Report Inputs'!$F$2</f>
        <v>55.9</v>
      </c>
      <c r="AL211" s="28">
        <f>'Report Inputs'!$E$2</f>
        <v>1080</v>
      </c>
      <c r="AM211" s="28">
        <f>IF(ISNA(VLOOKUP($Q211,data,14,FALSE)),0,VLOOKUP($Q211,data,14,FALSE))</f>
        <v>73.332999999999998</v>
      </c>
      <c r="AN211" s="26" t="s">
        <v>744</v>
      </c>
      <c r="AS211" s="26" t="s">
        <v>76</v>
      </c>
      <c r="AT211" s="26" t="s">
        <v>77</v>
      </c>
      <c r="AU211" s="26" t="s">
        <v>78</v>
      </c>
      <c r="AV211" s="31">
        <f t="shared" ca="1" si="79"/>
        <v>42376.365370833337</v>
      </c>
    </row>
    <row r="212" spans="1:48">
      <c r="A212" s="26">
        <v>7</v>
      </c>
      <c r="B212" s="26">
        <f>MONTH('Report Inputs'!$B$2)</f>
        <v>11</v>
      </c>
      <c r="C212" s="26">
        <f>YEAR('Report Inputs'!$B$2)</f>
        <v>2015</v>
      </c>
      <c r="D212" s="26">
        <v>66571</v>
      </c>
      <c r="F212" s="26" t="s">
        <v>65</v>
      </c>
      <c r="G212" s="26" t="s">
        <v>66</v>
      </c>
      <c r="H212" s="26" t="s">
        <v>67</v>
      </c>
      <c r="I212" s="26" t="s">
        <v>68</v>
      </c>
      <c r="J212" s="26" t="s">
        <v>69</v>
      </c>
      <c r="K212" s="26">
        <v>713</v>
      </c>
      <c r="L212" s="26" t="s">
        <v>70</v>
      </c>
      <c r="M212" s="26">
        <v>713</v>
      </c>
      <c r="N212" s="26" t="s">
        <v>71</v>
      </c>
      <c r="O212" s="26" t="s">
        <v>72</v>
      </c>
      <c r="P212" s="26">
        <v>45</v>
      </c>
      <c r="Q212" s="27">
        <v>16964</v>
      </c>
      <c r="R212" s="26">
        <v>0</v>
      </c>
      <c r="S212" s="26" t="s">
        <v>777</v>
      </c>
      <c r="T212" s="26" t="s">
        <v>80</v>
      </c>
      <c r="U212" s="26" t="str">
        <f t="shared" si="82"/>
        <v>PR</v>
      </c>
      <c r="V212" s="26">
        <f t="shared" si="83"/>
        <v>8</v>
      </c>
      <c r="W212" s="26" t="s">
        <v>73</v>
      </c>
      <c r="X212" s="26">
        <v>9</v>
      </c>
      <c r="Y212" s="26" t="s">
        <v>74</v>
      </c>
      <c r="Z212" s="26" t="s">
        <v>75</v>
      </c>
      <c r="AA212" s="28">
        <f>IF(ISNA(VLOOKUP($Q212,data,5,FALSE)),0,VLOOKUP($Q212,data,5,FALSE))</f>
        <v>0.222</v>
      </c>
      <c r="AB212" s="28">
        <f>IF(ISNA(VLOOKUP($Q212,data,7,FALSE)),0,VLOOKUP($Q212,data,7,FALSE))</f>
        <v>3.8540000000000001</v>
      </c>
      <c r="AC212" s="28">
        <f>IF(ISNA(VLOOKUP($Q212,data,6,FALSE)),0,VLOOKUP($Q212,data,6,FALSE))</f>
        <v>3.867</v>
      </c>
      <c r="AD212" s="28">
        <f t="shared" si="76"/>
        <v>0</v>
      </c>
      <c r="AE212" s="28">
        <f>IF(ISNA(VLOOKUP($Q212,data,13,FALSE)),0,VLOOKUP($Q212,data,13,FALSE))</f>
        <v>0.20899999999999999</v>
      </c>
      <c r="AF212" s="28">
        <f t="shared" si="84"/>
        <v>1559.31</v>
      </c>
      <c r="AG212" s="28">
        <f t="shared" si="85"/>
        <v>0.74</v>
      </c>
      <c r="AH212" s="28">
        <v>270</v>
      </c>
      <c r="AI212" s="28">
        <f t="shared" si="80"/>
        <v>0</v>
      </c>
      <c r="AJ212" s="28">
        <f t="shared" si="87"/>
        <v>1288.0640000000001</v>
      </c>
      <c r="AK212" s="30">
        <f>'Report Inputs'!$F$2</f>
        <v>55.9</v>
      </c>
      <c r="AL212" s="28">
        <f>'Report Inputs'!$E$2</f>
        <v>1080</v>
      </c>
      <c r="AM212" s="28">
        <f>IF(ISNA(VLOOKUP($Q212,data,14,FALSE)),0,VLOOKUP($Q212,data,14,FALSE))</f>
        <v>25.452000000000002</v>
      </c>
      <c r="AN212" s="26" t="s">
        <v>744</v>
      </c>
      <c r="AS212" s="26" t="s">
        <v>76</v>
      </c>
      <c r="AT212" s="26" t="s">
        <v>77</v>
      </c>
      <c r="AU212" s="26" t="s">
        <v>78</v>
      </c>
      <c r="AV212" s="31">
        <f t="shared" ca="1" si="79"/>
        <v>42376.365370833337</v>
      </c>
    </row>
    <row r="213" spans="1:48" s="32" customFormat="1">
      <c r="A213" s="32">
        <v>7</v>
      </c>
      <c r="B213" s="32">
        <f>MONTH('Report Inputs'!$B$2)</f>
        <v>11</v>
      </c>
      <c r="C213" s="32">
        <f>YEAR('Report Inputs'!$B$2)</f>
        <v>2015</v>
      </c>
      <c r="D213" s="32">
        <v>66571</v>
      </c>
      <c r="F213" s="32" t="s">
        <v>65</v>
      </c>
      <c r="G213" s="32" t="s">
        <v>66</v>
      </c>
      <c r="H213" s="32" t="s">
        <v>67</v>
      </c>
      <c r="I213" s="32" t="s">
        <v>68</v>
      </c>
      <c r="J213" s="32" t="s">
        <v>69</v>
      </c>
      <c r="K213" s="32">
        <v>713</v>
      </c>
      <c r="L213" s="32" t="s">
        <v>70</v>
      </c>
      <c r="M213" s="32">
        <v>713</v>
      </c>
      <c r="N213" s="32" t="s">
        <v>71</v>
      </c>
      <c r="O213" s="32" t="s">
        <v>72</v>
      </c>
      <c r="P213" s="32">
        <v>45</v>
      </c>
      <c r="Q213" s="33">
        <v>17051</v>
      </c>
      <c r="R213" s="32">
        <v>0</v>
      </c>
      <c r="S213" s="32" t="s">
        <v>766</v>
      </c>
      <c r="T213" s="32" t="s">
        <v>694</v>
      </c>
      <c r="U213" s="32" t="str">
        <f t="shared" si="82"/>
        <v>PR</v>
      </c>
      <c r="V213" s="32">
        <f t="shared" si="83"/>
        <v>30</v>
      </c>
      <c r="W213" s="32" t="s">
        <v>88</v>
      </c>
      <c r="X213" s="32">
        <v>16</v>
      </c>
      <c r="Y213" s="32" t="s">
        <v>74</v>
      </c>
      <c r="Z213" s="32" t="s">
        <v>75</v>
      </c>
      <c r="AA213" s="29">
        <f>IF(ISNA(VLOOKUP($Q213,data,5,FALSE)),0,VLOOKUP($Q213,data,5,FALSE))*0.2</f>
        <v>7.4800000000000005E-2</v>
      </c>
      <c r="AB213" s="29">
        <f>IF(ISNA(VLOOKUP($Q213,data,7,FALSE)),0,VLOOKUP($Q213,data,7,FALSE))*0.2</f>
        <v>1.8070000000000002</v>
      </c>
      <c r="AC213" s="29">
        <f>IF(ISNA(VLOOKUP($Q213,data,6,FALSE)),0,VLOOKUP($Q213,data,6,FALSE))*0.2</f>
        <v>1.786</v>
      </c>
      <c r="AD213" s="29">
        <f t="shared" si="76"/>
        <v>0</v>
      </c>
      <c r="AE213" s="29">
        <f>IF(ISNA(VLOOKUP($Q213,data,13,FALSE)),0,VLOOKUP($Q213,data,13,FALSE))*0.2</f>
        <v>9.5799999999999996E-2</v>
      </c>
      <c r="AF213" s="29">
        <f>IF(ISNA(VLOOKUP($Q213,data,9,FALSE)),0,VLOOKUP($Q213,data,9,FALSE))*0.2</f>
        <v>669.1</v>
      </c>
      <c r="AG213" s="29">
        <f>IF(ISNA(VLOOKUP($Q213,data,10,FALSE)),0,VLOOKUP($Q213,data,10,FALSE))*0.2</f>
        <v>0.34600000000000003</v>
      </c>
      <c r="AH213" s="29">
        <f>IF(ISNA(VLOOKUP($Q213,data,11,FALSE)),0,VLOOKUP($Q213,data,11,FALSE))*0.2</f>
        <v>69.596000000000004</v>
      </c>
      <c r="AI213" s="29">
        <f t="shared" si="80"/>
        <v>0</v>
      </c>
      <c r="AJ213" s="29">
        <f>IF(ISNA(VLOOKUP($Q213,data,8,FALSE)),0,VLOOKUP($Q213,data,8,FALSE))*0.2</f>
        <v>599.15800000000002</v>
      </c>
      <c r="AK213" s="34">
        <f>'Report Inputs'!$F$2</f>
        <v>55.9</v>
      </c>
      <c r="AL213" s="29">
        <f>'Report Inputs'!$E$2</f>
        <v>1080</v>
      </c>
      <c r="AM213" s="29">
        <f>IF(ISNA(VLOOKUP($Q213,data,14,FALSE)),0,VLOOKUP($Q213,data,14,FALSE))*0.2</f>
        <v>12.9284</v>
      </c>
      <c r="AN213" s="32" t="s">
        <v>744</v>
      </c>
      <c r="AS213" s="32" t="s">
        <v>76</v>
      </c>
      <c r="AT213" s="32" t="s">
        <v>77</v>
      </c>
      <c r="AU213" s="32" t="s">
        <v>78</v>
      </c>
      <c r="AV213" s="35">
        <f t="shared" ca="1" si="79"/>
        <v>42376.365370833337</v>
      </c>
    </row>
    <row r="214" spans="1:48" s="32" customFormat="1">
      <c r="A214" s="32">
        <v>7</v>
      </c>
      <c r="B214" s="32">
        <f>MONTH('Report Inputs'!$B$2)</f>
        <v>11</v>
      </c>
      <c r="C214" s="32">
        <f>YEAR('Report Inputs'!$B$2)</f>
        <v>2015</v>
      </c>
      <c r="D214" s="32">
        <v>66571</v>
      </c>
      <c r="F214" s="32" t="s">
        <v>65</v>
      </c>
      <c r="G214" s="32" t="s">
        <v>66</v>
      </c>
      <c r="H214" s="32" t="s">
        <v>67</v>
      </c>
      <c r="I214" s="32" t="s">
        <v>68</v>
      </c>
      <c r="J214" s="32" t="s">
        <v>69</v>
      </c>
      <c r="K214" s="32">
        <v>713</v>
      </c>
      <c r="L214" s="32" t="s">
        <v>70</v>
      </c>
      <c r="M214" s="32">
        <v>713</v>
      </c>
      <c r="N214" s="32" t="s">
        <v>71</v>
      </c>
      <c r="O214" s="32" t="s">
        <v>72</v>
      </c>
      <c r="P214" s="32">
        <v>45</v>
      </c>
      <c r="Q214" s="33">
        <v>17051</v>
      </c>
      <c r="R214" s="32">
        <v>0</v>
      </c>
      <c r="S214" s="32" t="s">
        <v>769</v>
      </c>
      <c r="T214" s="32" t="s">
        <v>80</v>
      </c>
      <c r="U214" s="32" t="str">
        <f t="shared" si="82"/>
        <v>PR</v>
      </c>
      <c r="V214" s="32">
        <f t="shared" si="83"/>
        <v>30</v>
      </c>
      <c r="W214" s="32" t="s">
        <v>88</v>
      </c>
      <c r="X214" s="32">
        <v>16</v>
      </c>
      <c r="Y214" s="32" t="s">
        <v>74</v>
      </c>
      <c r="Z214" s="32" t="s">
        <v>75</v>
      </c>
      <c r="AA214" s="29">
        <f>IF(ISNA(VLOOKUP($Q214,data,5,FALSE)),0,VLOOKUP($Q214,data,5,FALSE))*0.8</f>
        <v>0.29920000000000002</v>
      </c>
      <c r="AB214" s="29">
        <f>IF(ISNA(VLOOKUP($Q214,data,7,FALSE)),0,VLOOKUP($Q214,data,7,FALSE))*0.8</f>
        <v>7.2280000000000006</v>
      </c>
      <c r="AC214" s="29">
        <f>IF(ISNA(VLOOKUP($Q214,data,6,FALSE)),0,VLOOKUP($Q214,data,6,FALSE))*0.8</f>
        <v>7.1440000000000001</v>
      </c>
      <c r="AD214" s="29">
        <f t="shared" si="76"/>
        <v>0</v>
      </c>
      <c r="AE214" s="29">
        <f>IF(ISNA(VLOOKUP($Q214,data,13,FALSE)),0,VLOOKUP($Q214,data,13,FALSE))*0.8</f>
        <v>0.38319999999999999</v>
      </c>
      <c r="AF214" s="29">
        <f>IF(ISNA(VLOOKUP($Q214,data,9,FALSE)),0,VLOOKUP($Q214,data,9,FALSE))*0.8</f>
        <v>2676.4</v>
      </c>
      <c r="AG214" s="29">
        <f>IF(ISNA(VLOOKUP($Q214,data,10,FALSE)),0,VLOOKUP($Q214,data,10,FALSE))*0.8</f>
        <v>1.3840000000000001</v>
      </c>
      <c r="AH214" s="29">
        <f>IF(ISNA(VLOOKUP($Q214,data,11,FALSE)),0,VLOOKUP($Q214,data,11,FALSE))*0.8</f>
        <v>278.38400000000001</v>
      </c>
      <c r="AI214" s="29">
        <f t="shared" si="80"/>
        <v>0</v>
      </c>
      <c r="AJ214" s="29">
        <f>IF(ISNA(VLOOKUP($Q214,data,8,FALSE)),0,VLOOKUP($Q214,data,8,FALSE))*0.8</f>
        <v>2396.6320000000001</v>
      </c>
      <c r="AK214" s="34">
        <f>'Report Inputs'!$F$2</f>
        <v>55.9</v>
      </c>
      <c r="AL214" s="29">
        <f>'Report Inputs'!$E$2</f>
        <v>1080</v>
      </c>
      <c r="AM214" s="29">
        <f>IF(ISNA(VLOOKUP($Q214,data,14,FALSE)),0,VLOOKUP($Q214,data,14,FALSE))*0.8</f>
        <v>51.7136</v>
      </c>
      <c r="AN214" s="32" t="s">
        <v>744</v>
      </c>
      <c r="AS214" s="32" t="s">
        <v>76</v>
      </c>
      <c r="AT214" s="32" t="s">
        <v>77</v>
      </c>
      <c r="AU214" s="32" t="s">
        <v>78</v>
      </c>
      <c r="AV214" s="35">
        <f t="shared" ca="1" si="79"/>
        <v>42376.365370833337</v>
      </c>
    </row>
    <row r="215" spans="1:48">
      <c r="A215" s="26">
        <v>7</v>
      </c>
      <c r="B215" s="26">
        <f>MONTH('Report Inputs'!$B$2)</f>
        <v>11</v>
      </c>
      <c r="C215" s="26">
        <f>YEAR('Report Inputs'!$B$2)</f>
        <v>2015</v>
      </c>
      <c r="D215" s="26">
        <v>66571</v>
      </c>
      <c r="F215" s="26" t="s">
        <v>65</v>
      </c>
      <c r="G215" s="26" t="s">
        <v>66</v>
      </c>
      <c r="H215" s="26" t="s">
        <v>67</v>
      </c>
      <c r="I215" s="26" t="s">
        <v>68</v>
      </c>
      <c r="J215" s="26" t="s">
        <v>69</v>
      </c>
      <c r="K215" s="26">
        <v>713</v>
      </c>
      <c r="L215" s="26" t="s">
        <v>70</v>
      </c>
      <c r="M215" s="26">
        <v>713</v>
      </c>
      <c r="N215" s="26" t="s">
        <v>71</v>
      </c>
      <c r="O215" s="26" t="s">
        <v>72</v>
      </c>
      <c r="P215" s="26">
        <v>45</v>
      </c>
      <c r="Q215" s="27">
        <v>17571</v>
      </c>
      <c r="R215" s="26">
        <v>0</v>
      </c>
      <c r="S215" s="26" t="s">
        <v>795</v>
      </c>
      <c r="T215" s="26" t="s">
        <v>80</v>
      </c>
      <c r="U215" s="26" t="str">
        <f t="shared" si="82"/>
        <v>PR</v>
      </c>
      <c r="V215" s="26">
        <f t="shared" si="83"/>
        <v>30</v>
      </c>
      <c r="W215" s="26" t="s">
        <v>73</v>
      </c>
      <c r="X215" s="26">
        <v>9</v>
      </c>
      <c r="Y215" s="26" t="s">
        <v>74</v>
      </c>
      <c r="Z215" s="26" t="s">
        <v>75</v>
      </c>
      <c r="AA215" s="28">
        <f>IF(ISNA(VLOOKUP($Q215,data,5,FALSE)),0,VLOOKUP($Q215,data,5,FALSE))</f>
        <v>0.51800000000000002</v>
      </c>
      <c r="AB215" s="28">
        <f>IF(ISNA(VLOOKUP($Q215,data,7,FALSE)),0,VLOOKUP($Q215,data,7,FALSE))</f>
        <v>10.567</v>
      </c>
      <c r="AC215" s="28">
        <f>IF(ISNA(VLOOKUP($Q215,data,6,FALSE)),0,VLOOKUP($Q215,data,6,FALSE))*0.8</f>
        <v>8.4152000000000005</v>
      </c>
      <c r="AD215" s="28">
        <f t="shared" si="76"/>
        <v>-3</v>
      </c>
      <c r="AE215" s="28">
        <v>1</v>
      </c>
      <c r="AF215" s="28">
        <f t="shared" ref="AF215:AF218" si="88">IF(ISNA(VLOOKUP($Q215,data,9,FALSE)),0,VLOOKUP($Q215,data,9,FALSE))</f>
        <v>3905.59</v>
      </c>
      <c r="AG215" s="28">
        <f t="shared" si="85"/>
        <v>2.02</v>
      </c>
      <c r="AH215" s="28">
        <v>373</v>
      </c>
      <c r="AI215" s="28">
        <f t="shared" si="80"/>
        <v>0</v>
      </c>
      <c r="AJ215" s="28">
        <f t="shared" si="87"/>
        <v>3531.2959999999998</v>
      </c>
      <c r="AK215" s="30">
        <f>'Report Inputs'!$F$2</f>
        <v>55.9</v>
      </c>
      <c r="AL215" s="28">
        <f>'Report Inputs'!$E$2</f>
        <v>1080</v>
      </c>
      <c r="AM215" s="28">
        <f>IF(ISNA(VLOOKUP($Q215,data,14,FALSE)),0,VLOOKUP($Q215,data,14,FALSE))</f>
        <v>69.778000000000006</v>
      </c>
      <c r="AN215" s="26" t="s">
        <v>744</v>
      </c>
      <c r="AS215" s="26" t="s">
        <v>76</v>
      </c>
      <c r="AT215" s="26" t="s">
        <v>77</v>
      </c>
      <c r="AU215" s="26" t="s">
        <v>78</v>
      </c>
      <c r="AV215" s="31">
        <f t="shared" ca="1" si="79"/>
        <v>42376.365370833337</v>
      </c>
    </row>
    <row r="216" spans="1:48">
      <c r="A216" s="26">
        <v>7</v>
      </c>
      <c r="B216" s="26">
        <f>MONTH('Report Inputs'!$B$2)</f>
        <v>11</v>
      </c>
      <c r="C216" s="26">
        <f>YEAR('Report Inputs'!$B$2)</f>
        <v>2015</v>
      </c>
      <c r="D216" s="26">
        <v>66571</v>
      </c>
      <c r="F216" s="26" t="s">
        <v>65</v>
      </c>
      <c r="G216" s="26" t="s">
        <v>66</v>
      </c>
      <c r="H216" s="26" t="s">
        <v>67</v>
      </c>
      <c r="I216" s="26" t="s">
        <v>68</v>
      </c>
      <c r="J216" s="26" t="s">
        <v>69</v>
      </c>
      <c r="K216" s="26">
        <v>713</v>
      </c>
      <c r="L216" s="26" t="s">
        <v>70</v>
      </c>
      <c r="M216" s="26">
        <v>713</v>
      </c>
      <c r="N216" s="26" t="s">
        <v>71</v>
      </c>
      <c r="O216" s="26" t="s">
        <v>72</v>
      </c>
      <c r="P216" s="26">
        <v>45</v>
      </c>
      <c r="Q216" s="27">
        <v>17572</v>
      </c>
      <c r="R216" s="26">
        <v>0</v>
      </c>
      <c r="S216" s="26" t="s">
        <v>811</v>
      </c>
      <c r="T216" s="26" t="s">
        <v>80</v>
      </c>
      <c r="U216" s="26" t="str">
        <f t="shared" si="82"/>
        <v>PR</v>
      </c>
      <c r="V216" s="26">
        <f t="shared" si="83"/>
        <v>30</v>
      </c>
      <c r="W216" s="26" t="s">
        <v>73</v>
      </c>
      <c r="X216" s="26">
        <v>9</v>
      </c>
      <c r="Y216" s="26" t="s">
        <v>74</v>
      </c>
      <c r="Z216" s="26" t="s">
        <v>75</v>
      </c>
      <c r="AA216" s="28">
        <f>IF(ISNA(VLOOKUP($Q216,data,5,FALSE)),0,VLOOKUP($Q216,data,5,FALSE))</f>
        <v>0.66300000000000003</v>
      </c>
      <c r="AB216" s="28">
        <f>IF(ISNA(VLOOKUP($Q216,data,7,FALSE)),0,VLOOKUP($Q216,data,7,FALSE))</f>
        <v>13.731</v>
      </c>
      <c r="AC216" s="28">
        <f>IF(ISNA(VLOOKUP($Q216,data,6,FALSE)),0,VLOOKUP($Q216,data,6,FALSE))</f>
        <v>13.66</v>
      </c>
      <c r="AD216" s="28">
        <f t="shared" si="76"/>
        <v>0</v>
      </c>
      <c r="AE216" s="28">
        <f>IF(ISNA(VLOOKUP($Q216,data,13,FALSE)),0,VLOOKUP($Q216,data,13,FALSE))</f>
        <v>0.73399999999999999</v>
      </c>
      <c r="AF216" s="28">
        <f t="shared" si="88"/>
        <v>5012.3</v>
      </c>
      <c r="AG216" s="28">
        <f t="shared" si="85"/>
        <v>2.63</v>
      </c>
      <c r="AH216" s="28">
        <f>IF(ISNA(VLOOKUP($Q216,data,11,FALSE)),0,VLOOKUP($Q216,data,11,FALSE))</f>
        <v>420.27699999999999</v>
      </c>
      <c r="AI216" s="28">
        <f t="shared" si="80"/>
        <v>0</v>
      </c>
      <c r="AJ216" s="28">
        <f t="shared" si="87"/>
        <v>4589.393</v>
      </c>
      <c r="AK216" s="30">
        <f>'Report Inputs'!$F$2</f>
        <v>55.9</v>
      </c>
      <c r="AL216" s="28">
        <f>'Report Inputs'!$E$2</f>
        <v>1080</v>
      </c>
      <c r="AM216" s="28">
        <f>IF(ISNA(VLOOKUP($Q216,data,14,FALSE)),0,VLOOKUP($Q216,data,14,FALSE))</f>
        <v>90.686000000000007</v>
      </c>
      <c r="AN216" s="26" t="s">
        <v>744</v>
      </c>
      <c r="AS216" s="26" t="s">
        <v>76</v>
      </c>
      <c r="AT216" s="26" t="s">
        <v>77</v>
      </c>
      <c r="AU216" s="26" t="s">
        <v>78</v>
      </c>
      <c r="AV216" s="31">
        <f t="shared" ca="1" si="79"/>
        <v>42376.365370833337</v>
      </c>
    </row>
    <row r="217" spans="1:48">
      <c r="A217" s="26">
        <v>7</v>
      </c>
      <c r="B217" s="26">
        <f>MONTH('Report Inputs'!$B$2)</f>
        <v>11</v>
      </c>
      <c r="C217" s="26">
        <f>YEAR('Report Inputs'!$B$2)</f>
        <v>2015</v>
      </c>
      <c r="D217" s="26">
        <v>66571</v>
      </c>
      <c r="F217" s="26" t="s">
        <v>65</v>
      </c>
      <c r="G217" s="26" t="s">
        <v>66</v>
      </c>
      <c r="H217" s="26" t="s">
        <v>67</v>
      </c>
      <c r="I217" s="26" t="s">
        <v>68</v>
      </c>
      <c r="J217" s="26" t="s">
        <v>69</v>
      </c>
      <c r="K217" s="26">
        <v>713</v>
      </c>
      <c r="L217" s="26" t="s">
        <v>70</v>
      </c>
      <c r="M217" s="26">
        <v>713</v>
      </c>
      <c r="N217" s="26" t="s">
        <v>71</v>
      </c>
      <c r="O217" s="26" t="s">
        <v>72</v>
      </c>
      <c r="P217" s="26">
        <v>45</v>
      </c>
      <c r="Q217" s="27">
        <v>17573</v>
      </c>
      <c r="R217" s="26">
        <v>0</v>
      </c>
      <c r="S217" s="26" t="s">
        <v>784</v>
      </c>
      <c r="T217" s="26" t="s">
        <v>80</v>
      </c>
      <c r="U217" s="26" t="str">
        <f t="shared" si="82"/>
        <v>PR</v>
      </c>
      <c r="V217" s="26">
        <f t="shared" si="83"/>
        <v>30</v>
      </c>
      <c r="W217" s="26" t="s">
        <v>73</v>
      </c>
      <c r="X217" s="26">
        <v>9</v>
      </c>
      <c r="Y217" s="26" t="s">
        <v>74</v>
      </c>
      <c r="Z217" s="26" t="s">
        <v>75</v>
      </c>
      <c r="AA217" s="28">
        <f>IF(ISNA(VLOOKUP($Q217,data,5,FALSE)),0,VLOOKUP($Q217,data,5,FALSE))</f>
        <v>0.50800000000000001</v>
      </c>
      <c r="AB217" s="28">
        <f>IF(ISNA(VLOOKUP($Q217,data,7,FALSE)),0,VLOOKUP($Q217,data,7,FALSE))</f>
        <v>10.87</v>
      </c>
      <c r="AC217" s="28">
        <f>IF(ISNA(VLOOKUP($Q217,data,6,FALSE)),0,VLOOKUP($Q217,data,6,FALSE))</f>
        <v>10.798999999999999</v>
      </c>
      <c r="AD217" s="28">
        <f t="shared" si="76"/>
        <v>0</v>
      </c>
      <c r="AE217" s="28">
        <f>IF(ISNA(VLOOKUP($Q217,data,13,FALSE)),0,VLOOKUP($Q217,data,13,FALSE))</f>
        <v>0.57899999999999996</v>
      </c>
      <c r="AF217" s="28">
        <f t="shared" si="88"/>
        <v>4011.95</v>
      </c>
      <c r="AG217" s="28">
        <f t="shared" si="85"/>
        <v>2.08</v>
      </c>
      <c r="AH217" s="28">
        <f>IF(ISNA(VLOOKUP($Q217,data,11,FALSE)),0,VLOOKUP($Q217,data,11,FALSE))</f>
        <v>376.887</v>
      </c>
      <c r="AI217" s="28">
        <f t="shared" si="80"/>
        <v>0</v>
      </c>
      <c r="AJ217" s="28">
        <f t="shared" si="87"/>
        <v>3632.9830000000002</v>
      </c>
      <c r="AK217" s="30">
        <f>'Report Inputs'!$F$2</f>
        <v>55.9</v>
      </c>
      <c r="AL217" s="28">
        <f>'Report Inputs'!$E$2</f>
        <v>1080</v>
      </c>
      <c r="AM217" s="28">
        <f>IF(ISNA(VLOOKUP($Q217,data,14,FALSE)),0,VLOOKUP($Q217,data,14,FALSE))</f>
        <v>71.787999999999997</v>
      </c>
      <c r="AN217" s="26" t="s">
        <v>744</v>
      </c>
      <c r="AS217" s="26" t="s">
        <v>76</v>
      </c>
      <c r="AT217" s="26" t="s">
        <v>77</v>
      </c>
      <c r="AU217" s="26" t="s">
        <v>78</v>
      </c>
      <c r="AV217" s="31">
        <f t="shared" ca="1" si="79"/>
        <v>42376.365370833337</v>
      </c>
    </row>
    <row r="218" spans="1:48">
      <c r="A218" s="26">
        <v>7</v>
      </c>
      <c r="B218" s="26">
        <f>MONTH('Report Inputs'!$B$2)</f>
        <v>11</v>
      </c>
      <c r="C218" s="26">
        <f>YEAR('Report Inputs'!$B$2)</f>
        <v>2015</v>
      </c>
      <c r="D218" s="26">
        <v>66571</v>
      </c>
      <c r="F218" s="26" t="s">
        <v>65</v>
      </c>
      <c r="G218" s="26" t="s">
        <v>66</v>
      </c>
      <c r="H218" s="26" t="s">
        <v>67</v>
      </c>
      <c r="I218" s="26" t="s">
        <v>68</v>
      </c>
      <c r="J218" s="26" t="s">
        <v>69</v>
      </c>
      <c r="K218" s="26">
        <v>713</v>
      </c>
      <c r="L218" s="26" t="s">
        <v>70</v>
      </c>
      <c r="M218" s="26">
        <v>713</v>
      </c>
      <c r="N218" s="26" t="s">
        <v>71</v>
      </c>
      <c r="O218" s="26" t="s">
        <v>72</v>
      </c>
      <c r="P218" s="26">
        <v>45</v>
      </c>
      <c r="Q218" s="27">
        <v>17574</v>
      </c>
      <c r="R218" s="26">
        <v>0</v>
      </c>
      <c r="S218" s="26" t="s">
        <v>793</v>
      </c>
      <c r="T218" s="26" t="s">
        <v>80</v>
      </c>
      <c r="U218" s="26" t="str">
        <f t="shared" si="82"/>
        <v>PR</v>
      </c>
      <c r="V218" s="26">
        <f t="shared" si="83"/>
        <v>30</v>
      </c>
      <c r="W218" s="26" t="s">
        <v>73</v>
      </c>
      <c r="X218" s="26">
        <v>9</v>
      </c>
      <c r="Y218" s="26" t="s">
        <v>74</v>
      </c>
      <c r="Z218" s="26" t="s">
        <v>75</v>
      </c>
      <c r="AA218" s="28">
        <f>IF(ISNA(VLOOKUP($Q218,data,5,FALSE)),0,VLOOKUP($Q218,data,5,FALSE))</f>
        <v>0.40200000000000002</v>
      </c>
      <c r="AB218" s="28">
        <f>IF(ISNA(VLOOKUP($Q218,data,7,FALSE)),0,VLOOKUP($Q218,data,7,FALSE))</f>
        <v>8.61</v>
      </c>
      <c r="AC218" s="28">
        <f>IF(ISNA(VLOOKUP($Q218,data,6,FALSE)),0,VLOOKUP($Q218,data,6,FALSE))</f>
        <v>8.5540000000000003</v>
      </c>
      <c r="AD218" s="28">
        <f t="shared" si="76"/>
        <v>0</v>
      </c>
      <c r="AE218" s="28">
        <f>IF(ISNA(VLOOKUP($Q218,data,13,FALSE)),0,VLOOKUP($Q218,data,13,FALSE))</f>
        <v>0.45800000000000002</v>
      </c>
      <c r="AF218" s="28">
        <f t="shared" si="88"/>
        <v>3221.82</v>
      </c>
      <c r="AG218" s="28">
        <f t="shared" si="85"/>
        <v>1.65</v>
      </c>
      <c r="AH218" s="28">
        <v>342</v>
      </c>
      <c r="AI218" s="28">
        <f t="shared" si="80"/>
        <v>0</v>
      </c>
      <c r="AJ218" s="28">
        <f t="shared" si="87"/>
        <v>2877.5549999999998</v>
      </c>
      <c r="AK218" s="30">
        <f>'Report Inputs'!$F$2</f>
        <v>55.9</v>
      </c>
      <c r="AL218" s="28">
        <f>'Report Inputs'!$E$2</f>
        <v>1080</v>
      </c>
      <c r="AM218" s="28">
        <f>IF(ISNA(VLOOKUP($Q218,data,14,FALSE)),0,VLOOKUP($Q218,data,14,FALSE))</f>
        <v>56.86</v>
      </c>
      <c r="AN218" s="26" t="s">
        <v>744</v>
      </c>
      <c r="AS218" s="26" t="s">
        <v>76</v>
      </c>
      <c r="AT218" s="26" t="s">
        <v>77</v>
      </c>
      <c r="AU218" s="26" t="s">
        <v>78</v>
      </c>
      <c r="AV218" s="31">
        <f t="shared" ca="1" si="79"/>
        <v>42376.365370833337</v>
      </c>
    </row>
    <row r="219" spans="1:48" s="32" customFormat="1">
      <c r="A219" s="32">
        <v>7</v>
      </c>
      <c r="B219" s="32">
        <f>MONTH('Report Inputs'!$B$2)</f>
        <v>11</v>
      </c>
      <c r="C219" s="32">
        <f>YEAR('Report Inputs'!$B$2)</f>
        <v>2015</v>
      </c>
      <c r="D219" s="32">
        <v>66571</v>
      </c>
      <c r="F219" s="32" t="s">
        <v>65</v>
      </c>
      <c r="G219" s="32" t="s">
        <v>66</v>
      </c>
      <c r="H219" s="32" t="s">
        <v>67</v>
      </c>
      <c r="I219" s="32" t="s">
        <v>68</v>
      </c>
      <c r="J219" s="32" t="s">
        <v>69</v>
      </c>
      <c r="K219" s="32">
        <v>713</v>
      </c>
      <c r="L219" s="32" t="s">
        <v>70</v>
      </c>
      <c r="M219" s="32">
        <v>713</v>
      </c>
      <c r="N219" s="32" t="s">
        <v>71</v>
      </c>
      <c r="O219" s="32" t="s">
        <v>72</v>
      </c>
      <c r="P219" s="32">
        <v>45</v>
      </c>
      <c r="Q219" s="33">
        <v>17584</v>
      </c>
      <c r="R219" s="32">
        <v>0</v>
      </c>
      <c r="S219" s="32" t="s">
        <v>729</v>
      </c>
      <c r="T219" s="32" t="s">
        <v>694</v>
      </c>
      <c r="U219" s="32" t="str">
        <f t="shared" si="82"/>
        <v>PR</v>
      </c>
      <c r="V219" s="32">
        <f t="shared" si="83"/>
        <v>30</v>
      </c>
      <c r="W219" s="32" t="s">
        <v>115</v>
      </c>
      <c r="X219" s="32">
        <v>3</v>
      </c>
      <c r="Y219" s="32" t="s">
        <v>194</v>
      </c>
      <c r="Z219" s="32" t="s">
        <v>75</v>
      </c>
      <c r="AA219" s="29">
        <f>IF(ISNA(VLOOKUP($Q219,data,5,FALSE)),0,VLOOKUP($Q219,data,5,FALSE))*0.1</f>
        <v>8.2199999999999995E-2</v>
      </c>
      <c r="AB219" s="29">
        <f>IF(ISNA(VLOOKUP($Q219,data,7,FALSE)),0,VLOOKUP($Q219,data,7,FALSE))*0.1</f>
        <v>1.2843</v>
      </c>
      <c r="AC219" s="29">
        <f>IF(ISNA(VLOOKUP($Q219,data,6,FALSE)),0,VLOOKUP($Q219,data,6,FALSE))*0.1</f>
        <v>1.2852000000000001</v>
      </c>
      <c r="AD219" s="29">
        <f t="shared" ref="AD219:AD282" si="89">ROUND(AC219,0)+ROUND(AE219,0)-ROUND(AA219,0)-ROUND(AB219,0)</f>
        <v>0</v>
      </c>
      <c r="AE219" s="29">
        <f>IF(ISNA(VLOOKUP($Q219,data,13,FALSE)),0,VLOOKUP($Q219,data,13,FALSE))*0.1</f>
        <v>8.1299999999999997E-2</v>
      </c>
      <c r="AF219" s="29">
        <f>IF(ISNA(VLOOKUP($Q219,data,9,FALSE)),0,VLOOKUP($Q219,data,9,FALSE))*0.1</f>
        <v>718.00400000000002</v>
      </c>
      <c r="AG219" s="29">
        <f>IF(ISNA(VLOOKUP($Q219,data,10,FALSE)),0,VLOOKUP($Q219,data,10,FALSE))*0.1</f>
        <v>0.23700000000000002</v>
      </c>
      <c r="AH219" s="29">
        <v>52</v>
      </c>
      <c r="AI219" s="29">
        <f t="shared" si="80"/>
        <v>0</v>
      </c>
      <c r="AJ219" s="29">
        <f>IF(ISNA(VLOOKUP($Q219,data,8,FALSE)),0,VLOOKUP($Q219,data,8,FALSE))*0.1</f>
        <v>666.3306</v>
      </c>
      <c r="AK219" s="34">
        <f>'Report Inputs'!$F$2</f>
        <v>55.9</v>
      </c>
      <c r="AL219" s="29">
        <f>'Report Inputs'!$E$2</f>
        <v>1080</v>
      </c>
      <c r="AM219" s="29">
        <f>IF(ISNA(VLOOKUP($Q219,data,14,FALSE)),0,VLOOKUP($Q219,data,14,FALSE))*0.1</f>
        <v>3.1167000000000002</v>
      </c>
      <c r="AN219" s="32" t="s">
        <v>744</v>
      </c>
      <c r="AS219" s="32" t="s">
        <v>76</v>
      </c>
      <c r="AT219" s="32" t="s">
        <v>77</v>
      </c>
      <c r="AU219" s="32" t="s">
        <v>78</v>
      </c>
      <c r="AV219" s="35">
        <f t="shared" ca="1" si="79"/>
        <v>42376.365370833337</v>
      </c>
    </row>
    <row r="220" spans="1:48" s="32" customFormat="1">
      <c r="A220" s="32">
        <v>7</v>
      </c>
      <c r="B220" s="32">
        <f>MONTH('Report Inputs'!$B$2)</f>
        <v>11</v>
      </c>
      <c r="C220" s="32">
        <f>YEAR('Report Inputs'!$B$2)</f>
        <v>2015</v>
      </c>
      <c r="D220" s="32">
        <v>66571</v>
      </c>
      <c r="F220" s="32" t="s">
        <v>65</v>
      </c>
      <c r="G220" s="32" t="s">
        <v>66</v>
      </c>
      <c r="H220" s="32" t="s">
        <v>67</v>
      </c>
      <c r="I220" s="32" t="s">
        <v>68</v>
      </c>
      <c r="J220" s="32" t="s">
        <v>69</v>
      </c>
      <c r="K220" s="32">
        <v>713</v>
      </c>
      <c r="L220" s="32" t="s">
        <v>70</v>
      </c>
      <c r="M220" s="32">
        <v>713</v>
      </c>
      <c r="N220" s="32" t="s">
        <v>71</v>
      </c>
      <c r="O220" s="32" t="s">
        <v>72</v>
      </c>
      <c r="P220" s="32">
        <v>45</v>
      </c>
      <c r="Q220" s="33">
        <v>17584</v>
      </c>
      <c r="R220" s="32">
        <v>0</v>
      </c>
      <c r="S220" s="32" t="s">
        <v>729</v>
      </c>
      <c r="T220" s="32" t="s">
        <v>727</v>
      </c>
      <c r="U220" s="32" t="str">
        <f t="shared" si="82"/>
        <v>PR</v>
      </c>
      <c r="V220" s="32">
        <f t="shared" si="83"/>
        <v>30</v>
      </c>
      <c r="W220" s="32" t="s">
        <v>115</v>
      </c>
      <c r="X220" s="32">
        <v>3</v>
      </c>
      <c r="Y220" s="32" t="s">
        <v>194</v>
      </c>
      <c r="Z220" s="32" t="s">
        <v>75</v>
      </c>
      <c r="AA220" s="29">
        <f>IF(ISNA(VLOOKUP($Q220,data,5,FALSE)),0,VLOOKUP($Q220,data,5,FALSE))*0.1</f>
        <v>8.2199999999999995E-2</v>
      </c>
      <c r="AB220" s="29">
        <f>IF(ISNA(VLOOKUP($Q220,data,7,FALSE)),0,VLOOKUP($Q220,data,7,FALSE))*0.1</f>
        <v>1.2843</v>
      </c>
      <c r="AC220" s="29">
        <f>IF(ISNA(VLOOKUP($Q220,data,6,FALSE)),0,VLOOKUP($Q220,data,6,FALSE))*0.1</f>
        <v>1.2852000000000001</v>
      </c>
      <c r="AD220" s="29">
        <f t="shared" si="89"/>
        <v>0</v>
      </c>
      <c r="AE220" s="29">
        <f>IF(ISNA(VLOOKUP($Q220,data,13,FALSE)),0,VLOOKUP($Q220,data,13,FALSE))*0.1</f>
        <v>8.1299999999999997E-2</v>
      </c>
      <c r="AF220" s="29">
        <f>IF(ISNA(VLOOKUP($Q220,data,9,FALSE)),0,VLOOKUP($Q220,data,9,FALSE))*0.1</f>
        <v>718.00400000000002</v>
      </c>
      <c r="AG220" s="29">
        <f>IF(ISNA(VLOOKUP($Q220,data,10,FALSE)),0,VLOOKUP($Q220,data,10,FALSE))*0.1</f>
        <v>0.23700000000000002</v>
      </c>
      <c r="AH220" s="29">
        <v>52</v>
      </c>
      <c r="AI220" s="29">
        <f t="shared" si="80"/>
        <v>0</v>
      </c>
      <c r="AJ220" s="29">
        <f>IF(ISNA(VLOOKUP($Q220,data,8,FALSE)),0,VLOOKUP($Q220,data,8,FALSE))*0.1</f>
        <v>666.3306</v>
      </c>
      <c r="AK220" s="34">
        <f>'Report Inputs'!$F$2</f>
        <v>55.9</v>
      </c>
      <c r="AL220" s="29">
        <f>'Report Inputs'!$E$2</f>
        <v>1080</v>
      </c>
      <c r="AM220" s="29">
        <f>IF(ISNA(VLOOKUP($Q220,data,14,FALSE)),0,VLOOKUP($Q220,data,14,FALSE))*0.1</f>
        <v>3.1167000000000002</v>
      </c>
      <c r="AN220" s="32" t="s">
        <v>744</v>
      </c>
      <c r="AS220" s="32" t="s">
        <v>76</v>
      </c>
      <c r="AT220" s="32" t="s">
        <v>77</v>
      </c>
      <c r="AU220" s="32" t="s">
        <v>78</v>
      </c>
      <c r="AV220" s="35">
        <f t="shared" ca="1" si="79"/>
        <v>42376.365370833337</v>
      </c>
    </row>
    <row r="221" spans="1:48" s="32" customFormat="1">
      <c r="A221" s="32">
        <v>7</v>
      </c>
      <c r="B221" s="32">
        <f>MONTH('Report Inputs'!$B$2)</f>
        <v>11</v>
      </c>
      <c r="C221" s="32">
        <f>YEAR('Report Inputs'!$B$2)</f>
        <v>2015</v>
      </c>
      <c r="D221" s="32">
        <v>66571</v>
      </c>
      <c r="F221" s="32" t="s">
        <v>65</v>
      </c>
      <c r="G221" s="32" t="s">
        <v>66</v>
      </c>
      <c r="H221" s="32" t="s">
        <v>67</v>
      </c>
      <c r="I221" s="32" t="s">
        <v>68</v>
      </c>
      <c r="J221" s="32" t="s">
        <v>69</v>
      </c>
      <c r="K221" s="32">
        <v>713</v>
      </c>
      <c r="L221" s="32" t="s">
        <v>70</v>
      </c>
      <c r="M221" s="32">
        <v>713</v>
      </c>
      <c r="N221" s="32" t="s">
        <v>71</v>
      </c>
      <c r="O221" s="32" t="s">
        <v>72</v>
      </c>
      <c r="P221" s="32">
        <v>45</v>
      </c>
      <c r="Q221" s="33">
        <v>17584</v>
      </c>
      <c r="R221" s="32">
        <v>0</v>
      </c>
      <c r="S221" s="32" t="s">
        <v>726</v>
      </c>
      <c r="T221" s="32" t="s">
        <v>681</v>
      </c>
      <c r="U221" s="32" t="str">
        <f t="shared" si="82"/>
        <v>PR</v>
      </c>
      <c r="V221" s="32">
        <f t="shared" si="83"/>
        <v>30</v>
      </c>
      <c r="W221" s="32" t="s">
        <v>115</v>
      </c>
      <c r="X221" s="32">
        <v>3</v>
      </c>
      <c r="Y221" s="32" t="s">
        <v>194</v>
      </c>
      <c r="Z221" s="32" t="s">
        <v>75</v>
      </c>
      <c r="AA221" s="29">
        <f>IF(ISNA(VLOOKUP($Q221,data,5,FALSE)),0,VLOOKUP($Q221,data,5,FALSE))*0.2</f>
        <v>0.16439999999999999</v>
      </c>
      <c r="AB221" s="29">
        <f>IF(ISNA(VLOOKUP($Q221,data,7,FALSE)),0,VLOOKUP($Q221,data,7,FALSE))*0.2</f>
        <v>2.5686</v>
      </c>
      <c r="AC221" s="29">
        <f>IF(ISNA(VLOOKUP($Q221,data,6,FALSE)),0,VLOOKUP($Q221,data,6,FALSE))*0.2</f>
        <v>2.5704000000000002</v>
      </c>
      <c r="AD221" s="29">
        <f t="shared" si="89"/>
        <v>0</v>
      </c>
      <c r="AE221" s="29">
        <f>IF(ISNA(VLOOKUP($Q221,data,13,FALSE)),0,VLOOKUP($Q221,data,13,FALSE))*0.2</f>
        <v>0.16259999999999999</v>
      </c>
      <c r="AF221" s="29">
        <f>IF(ISNA(VLOOKUP($Q221,data,9,FALSE)),0,VLOOKUP($Q221,data,9,FALSE))*0.2</f>
        <v>1436.008</v>
      </c>
      <c r="AG221" s="29">
        <f>IF(ISNA(VLOOKUP($Q221,data,10,FALSE)),0,VLOOKUP($Q221,data,10,FALSE))*0.2</f>
        <v>0.47400000000000003</v>
      </c>
      <c r="AH221" s="29">
        <f>IF(ISNA(VLOOKUP($Q221,data,11,FALSE)),0,VLOOKUP($Q221,data,11,FALSE))*0.2</f>
        <v>102.87280000000001</v>
      </c>
      <c r="AI221" s="29">
        <f t="shared" si="80"/>
        <v>0</v>
      </c>
      <c r="AJ221" s="29">
        <f>IF(ISNA(VLOOKUP($Q221,data,8,FALSE)),0,VLOOKUP($Q221,data,8,FALSE))*0.2</f>
        <v>1332.6612</v>
      </c>
      <c r="AK221" s="34">
        <f>'Report Inputs'!$F$2</f>
        <v>55.9</v>
      </c>
      <c r="AL221" s="29">
        <f>'Report Inputs'!$E$2</f>
        <v>1080</v>
      </c>
      <c r="AM221" s="29">
        <f>IF(ISNA(VLOOKUP($Q221,data,14,FALSE)),0,VLOOKUP($Q221,data,14,FALSE))*0.2</f>
        <v>6.2334000000000005</v>
      </c>
      <c r="AN221" s="32" t="s">
        <v>744</v>
      </c>
      <c r="AS221" s="32" t="s">
        <v>76</v>
      </c>
      <c r="AT221" s="32" t="s">
        <v>77</v>
      </c>
      <c r="AU221" s="32" t="s">
        <v>78</v>
      </c>
      <c r="AV221" s="35">
        <f t="shared" ca="1" si="79"/>
        <v>42376.365370833337</v>
      </c>
    </row>
    <row r="222" spans="1:48" s="32" customFormat="1">
      <c r="A222" s="32">
        <v>7</v>
      </c>
      <c r="B222" s="32">
        <f>MONTH('Report Inputs'!$B$2)</f>
        <v>11</v>
      </c>
      <c r="C222" s="32">
        <f>YEAR('Report Inputs'!$B$2)</f>
        <v>2015</v>
      </c>
      <c r="D222" s="32">
        <v>66571</v>
      </c>
      <c r="F222" s="32" t="s">
        <v>65</v>
      </c>
      <c r="G222" s="32" t="s">
        <v>66</v>
      </c>
      <c r="H222" s="32" t="s">
        <v>67</v>
      </c>
      <c r="I222" s="32" t="s">
        <v>68</v>
      </c>
      <c r="J222" s="32" t="s">
        <v>69</v>
      </c>
      <c r="K222" s="32">
        <v>713</v>
      </c>
      <c r="L222" s="32" t="s">
        <v>70</v>
      </c>
      <c r="M222" s="32">
        <v>713</v>
      </c>
      <c r="N222" s="32" t="s">
        <v>71</v>
      </c>
      <c r="O222" s="32" t="s">
        <v>72</v>
      </c>
      <c r="P222" s="32">
        <v>45</v>
      </c>
      <c r="Q222" s="33">
        <v>17584</v>
      </c>
      <c r="R222" s="32">
        <v>0</v>
      </c>
      <c r="S222" s="32" t="s">
        <v>728</v>
      </c>
      <c r="T222" s="32" t="s">
        <v>80</v>
      </c>
      <c r="U222" s="32" t="str">
        <f t="shared" si="82"/>
        <v>PR</v>
      </c>
      <c r="V222" s="32">
        <f t="shared" si="83"/>
        <v>30</v>
      </c>
      <c r="W222" s="32" t="s">
        <v>115</v>
      </c>
      <c r="X222" s="32">
        <v>3</v>
      </c>
      <c r="Y222" s="32" t="s">
        <v>194</v>
      </c>
      <c r="Z222" s="32" t="s">
        <v>75</v>
      </c>
      <c r="AA222" s="29">
        <f>IF(ISNA(VLOOKUP($Q222,data,5,FALSE)),0,VLOOKUP($Q222,data,5,FALSE))*0.6</f>
        <v>0.49319999999999997</v>
      </c>
      <c r="AB222" s="29">
        <f>IF(ISNA(VLOOKUP($Q222,data,7,FALSE)),0,VLOOKUP($Q222,data,7,FALSE))*0.6</f>
        <v>7.7058</v>
      </c>
      <c r="AC222" s="29">
        <f>IF(ISNA(VLOOKUP($Q222,data,6,FALSE)),0,VLOOKUP($Q222,data,6,FALSE))*0.6</f>
        <v>7.7111999999999998</v>
      </c>
      <c r="AD222" s="29">
        <f t="shared" si="89"/>
        <v>0</v>
      </c>
      <c r="AE222" s="29">
        <f>IF(ISNA(VLOOKUP($Q222,data,13,FALSE)),0,VLOOKUP($Q222,data,13,FALSE))*0.6</f>
        <v>0.48779999999999996</v>
      </c>
      <c r="AF222" s="29">
        <f>IF(ISNA(VLOOKUP($Q222,data,9,FALSE)),0,VLOOKUP($Q222,data,9,FALSE))*0.6</f>
        <v>4308.0239999999994</v>
      </c>
      <c r="AG222" s="29">
        <f>IF(ISNA(VLOOKUP($Q222,data,10,FALSE)),0,VLOOKUP($Q222,data,10,FALSE))*0.6</f>
        <v>1.4219999999999999</v>
      </c>
      <c r="AH222" s="29">
        <f>IF(ISNA(VLOOKUP($Q222,data,11,FALSE)),0,VLOOKUP($Q222,data,11,FALSE))*0.6</f>
        <v>308.61840000000001</v>
      </c>
      <c r="AI222" s="29">
        <f t="shared" si="80"/>
        <v>0</v>
      </c>
      <c r="AJ222" s="29">
        <f>IF(ISNA(VLOOKUP($Q222,data,8,FALSE)),0,VLOOKUP($Q222,data,8,FALSE))*0.6</f>
        <v>3997.9835999999996</v>
      </c>
      <c r="AK222" s="34">
        <f>'Report Inputs'!$F$2</f>
        <v>55.9</v>
      </c>
      <c r="AL222" s="29">
        <f>'Report Inputs'!$E$2</f>
        <v>1080</v>
      </c>
      <c r="AM222" s="29">
        <f>IF(ISNA(VLOOKUP($Q222,data,14,FALSE)),0,VLOOKUP($Q222,data,14,FALSE))*0.6</f>
        <v>18.700199999999999</v>
      </c>
      <c r="AN222" s="32" t="s">
        <v>744</v>
      </c>
      <c r="AS222" s="32" t="s">
        <v>76</v>
      </c>
      <c r="AT222" s="32" t="s">
        <v>77</v>
      </c>
      <c r="AU222" s="32" t="s">
        <v>78</v>
      </c>
      <c r="AV222" s="35">
        <f t="shared" ca="1" si="79"/>
        <v>42376.365370833337</v>
      </c>
    </row>
    <row r="223" spans="1:48">
      <c r="A223" s="26">
        <v>7</v>
      </c>
      <c r="B223" s="26">
        <f>MONTH('Report Inputs'!$B$2)</f>
        <v>11</v>
      </c>
      <c r="C223" s="26">
        <f>YEAR('Report Inputs'!$B$2)</f>
        <v>2015</v>
      </c>
      <c r="D223" s="26">
        <v>66571</v>
      </c>
      <c r="F223" s="26" t="s">
        <v>65</v>
      </c>
      <c r="G223" s="26" t="s">
        <v>66</v>
      </c>
      <c r="H223" s="26" t="s">
        <v>67</v>
      </c>
      <c r="I223" s="26" t="s">
        <v>68</v>
      </c>
      <c r="J223" s="26" t="s">
        <v>69</v>
      </c>
      <c r="K223" s="26">
        <v>713</v>
      </c>
      <c r="L223" s="26" t="s">
        <v>70</v>
      </c>
      <c r="M223" s="26">
        <v>713</v>
      </c>
      <c r="N223" s="26" t="s">
        <v>71</v>
      </c>
      <c r="O223" s="26" t="s">
        <v>72</v>
      </c>
      <c r="P223" s="26">
        <v>45</v>
      </c>
      <c r="Q223" s="27">
        <v>17585</v>
      </c>
      <c r="R223" s="26">
        <v>0</v>
      </c>
      <c r="S223" s="26" t="s">
        <v>633</v>
      </c>
      <c r="T223" s="26" t="s">
        <v>80</v>
      </c>
      <c r="U223" s="26" t="str">
        <f t="shared" si="82"/>
        <v>PR</v>
      </c>
      <c r="V223" s="26">
        <f t="shared" si="83"/>
        <v>30</v>
      </c>
      <c r="W223" s="26" t="s">
        <v>115</v>
      </c>
      <c r="X223" s="26">
        <v>3</v>
      </c>
      <c r="Y223" s="26" t="s">
        <v>194</v>
      </c>
      <c r="Z223" s="26" t="s">
        <v>75</v>
      </c>
      <c r="AA223" s="28">
        <f>IF(ISNA(VLOOKUP($Q223,data,5,FALSE)),0,VLOOKUP($Q223,data,5,FALSE))</f>
        <v>0.79400000000000004</v>
      </c>
      <c r="AB223" s="28">
        <f>IF(ISNA(VLOOKUP($Q223,data,7,FALSE)),0,VLOOKUP($Q223,data,7,FALSE))</f>
        <v>12.452</v>
      </c>
      <c r="AC223" s="28">
        <f>IF(ISNA(VLOOKUP($Q223,data,6,FALSE)),0,VLOOKUP($Q223,data,6,FALSE))</f>
        <v>12.46</v>
      </c>
      <c r="AD223" s="28">
        <f t="shared" si="89"/>
        <v>0</v>
      </c>
      <c r="AE223" s="28">
        <f>IF(ISNA(VLOOKUP($Q223,data,13,FALSE)),0,VLOOKUP($Q223,data,13,FALSE))</f>
        <v>0.78600000000000003</v>
      </c>
      <c r="AF223" s="28">
        <f t="shared" ref="AF223:AF226" si="90">IF(ISNA(VLOOKUP($Q223,data,9,FALSE)),0,VLOOKUP($Q223,data,9,FALSE))</f>
        <v>6970.3</v>
      </c>
      <c r="AG223" s="28">
        <f t="shared" si="85"/>
        <v>2.2999999999999998</v>
      </c>
      <c r="AH223" s="28">
        <f>IF(ISNA(VLOOKUP($Q223,data,11,FALSE)),0,VLOOKUP($Q223,data,11,FALSE))</f>
        <v>506.92</v>
      </c>
      <c r="AI223" s="28">
        <f t="shared" si="80"/>
        <v>0</v>
      </c>
      <c r="AJ223" s="28">
        <f t="shared" si="87"/>
        <v>6461.08</v>
      </c>
      <c r="AK223" s="30">
        <f>'Report Inputs'!$F$2</f>
        <v>55.9</v>
      </c>
      <c r="AL223" s="28">
        <f>'Report Inputs'!$E$2</f>
        <v>1080</v>
      </c>
      <c r="AM223" s="28">
        <f>IF(ISNA(VLOOKUP($Q223,data,14,FALSE)),0,VLOOKUP($Q223,data,14,FALSE))</f>
        <v>30.221</v>
      </c>
      <c r="AN223" s="26" t="s">
        <v>744</v>
      </c>
      <c r="AS223" s="26" t="s">
        <v>76</v>
      </c>
      <c r="AT223" s="26" t="s">
        <v>77</v>
      </c>
      <c r="AU223" s="26" t="s">
        <v>78</v>
      </c>
      <c r="AV223" s="31">
        <f t="shared" ca="1" si="79"/>
        <v>42376.365370833337</v>
      </c>
    </row>
    <row r="224" spans="1:48">
      <c r="A224" s="26">
        <v>7</v>
      </c>
      <c r="B224" s="26">
        <f>MONTH('Report Inputs'!$B$2)</f>
        <v>11</v>
      </c>
      <c r="C224" s="26">
        <f>YEAR('Report Inputs'!$B$2)</f>
        <v>2015</v>
      </c>
      <c r="D224" s="26">
        <v>66571</v>
      </c>
      <c r="F224" s="26" t="s">
        <v>65</v>
      </c>
      <c r="G224" s="26" t="s">
        <v>66</v>
      </c>
      <c r="H224" s="26" t="s">
        <v>67</v>
      </c>
      <c r="I224" s="26" t="s">
        <v>68</v>
      </c>
      <c r="J224" s="26" t="s">
        <v>69</v>
      </c>
      <c r="K224" s="26">
        <v>713</v>
      </c>
      <c r="L224" s="26" t="s">
        <v>70</v>
      </c>
      <c r="M224" s="26">
        <v>713</v>
      </c>
      <c r="N224" s="26" t="s">
        <v>71</v>
      </c>
      <c r="O224" s="26" t="s">
        <v>72</v>
      </c>
      <c r="P224" s="26">
        <v>45</v>
      </c>
      <c r="Q224" s="27">
        <v>17586</v>
      </c>
      <c r="R224" s="26">
        <v>0</v>
      </c>
      <c r="S224" s="26" t="s">
        <v>634</v>
      </c>
      <c r="T224" s="26" t="s">
        <v>80</v>
      </c>
      <c r="U224" s="26" t="str">
        <f t="shared" si="82"/>
        <v>PR</v>
      </c>
      <c r="V224" s="26">
        <f t="shared" si="83"/>
        <v>30</v>
      </c>
      <c r="W224" s="26" t="s">
        <v>115</v>
      </c>
      <c r="X224" s="26">
        <v>3</v>
      </c>
      <c r="Y224" s="26" t="s">
        <v>194</v>
      </c>
      <c r="Z224" s="26" t="s">
        <v>75</v>
      </c>
      <c r="AA224" s="28">
        <f>IF(ISNA(VLOOKUP($Q224,data,5,FALSE)),0,VLOOKUP($Q224,data,5,FALSE))</f>
        <v>0.86599999999999999</v>
      </c>
      <c r="AB224" s="28">
        <f>IF(ISNA(VLOOKUP($Q224,data,7,FALSE)),0,VLOOKUP($Q224,data,7,FALSE))</f>
        <v>13.093</v>
      </c>
      <c r="AC224" s="28">
        <f>IF(ISNA(VLOOKUP($Q224,data,6,FALSE)),0,VLOOKUP($Q224,data,6,FALSE))</f>
        <v>13.13</v>
      </c>
      <c r="AD224" s="28">
        <f t="shared" si="89"/>
        <v>0</v>
      </c>
      <c r="AE224" s="28">
        <f>IF(ISNA(VLOOKUP($Q224,data,13,FALSE)),0,VLOOKUP($Q224,data,13,FALSE))</f>
        <v>0.82899999999999996</v>
      </c>
      <c r="AF224" s="28">
        <f t="shared" si="90"/>
        <v>7316.39</v>
      </c>
      <c r="AG224" s="28">
        <f t="shared" si="85"/>
        <v>2.42</v>
      </c>
      <c r="AH224" s="28">
        <f>IF(ISNA(VLOOKUP($Q224,data,11,FALSE)),0,VLOOKUP($Q224,data,11,FALSE))</f>
        <v>520.279</v>
      </c>
      <c r="AI224" s="28">
        <f t="shared" si="80"/>
        <v>0</v>
      </c>
      <c r="AJ224" s="28">
        <f t="shared" si="87"/>
        <v>6793.6909999999998</v>
      </c>
      <c r="AK224" s="30">
        <f>'Report Inputs'!$F$2</f>
        <v>55.9</v>
      </c>
      <c r="AL224" s="28">
        <f>'Report Inputs'!$E$2</f>
        <v>1080</v>
      </c>
      <c r="AM224" s="28">
        <f>IF(ISNA(VLOOKUP($Q224,data,14,FALSE)),0,VLOOKUP($Q224,data,14,FALSE))</f>
        <v>31.776</v>
      </c>
      <c r="AN224" s="26" t="s">
        <v>744</v>
      </c>
      <c r="AS224" s="26" t="s">
        <v>76</v>
      </c>
      <c r="AT224" s="26" t="s">
        <v>77</v>
      </c>
      <c r="AU224" s="26" t="s">
        <v>78</v>
      </c>
      <c r="AV224" s="31">
        <f t="shared" ca="1" si="79"/>
        <v>42376.365370833337</v>
      </c>
    </row>
    <row r="225" spans="1:48">
      <c r="A225" s="26">
        <v>7</v>
      </c>
      <c r="B225" s="26">
        <f>MONTH('Report Inputs'!$B$2)</f>
        <v>11</v>
      </c>
      <c r="C225" s="26">
        <f>YEAR('Report Inputs'!$B$2)</f>
        <v>2015</v>
      </c>
      <c r="D225" s="26">
        <v>66571</v>
      </c>
      <c r="F225" s="26" t="s">
        <v>65</v>
      </c>
      <c r="G225" s="26" t="s">
        <v>66</v>
      </c>
      <c r="H225" s="26" t="s">
        <v>67</v>
      </c>
      <c r="I225" s="26" t="s">
        <v>68</v>
      </c>
      <c r="J225" s="26" t="s">
        <v>69</v>
      </c>
      <c r="K225" s="26">
        <v>713</v>
      </c>
      <c r="L225" s="26" t="s">
        <v>70</v>
      </c>
      <c r="M225" s="26">
        <v>713</v>
      </c>
      <c r="N225" s="26" t="s">
        <v>71</v>
      </c>
      <c r="O225" s="26" t="s">
        <v>72</v>
      </c>
      <c r="P225" s="26">
        <v>45</v>
      </c>
      <c r="Q225" s="27">
        <v>17587</v>
      </c>
      <c r="R225" s="26">
        <v>0</v>
      </c>
      <c r="S225" s="26" t="s">
        <v>638</v>
      </c>
      <c r="T225" s="26" t="s">
        <v>80</v>
      </c>
      <c r="U225" s="26" t="str">
        <f t="shared" si="82"/>
        <v>PR</v>
      </c>
      <c r="V225" s="26">
        <f t="shared" si="83"/>
        <v>30</v>
      </c>
      <c r="W225" s="26" t="s">
        <v>115</v>
      </c>
      <c r="X225" s="26">
        <v>3</v>
      </c>
      <c r="Y225" s="26" t="s">
        <v>194</v>
      </c>
      <c r="Z225" s="26" t="s">
        <v>75</v>
      </c>
      <c r="AA225" s="28">
        <f>IF(ISNA(VLOOKUP($Q225,data,5,FALSE)),0,VLOOKUP($Q225,data,5,FALSE))</f>
        <v>1.1619999999999999</v>
      </c>
      <c r="AB225" s="28">
        <f>IF(ISNA(VLOOKUP($Q225,data,7,FALSE)),0,VLOOKUP($Q225,data,7,FALSE))</f>
        <v>18.132999999999999</v>
      </c>
      <c r="AC225" s="28">
        <f>IF(ISNA(VLOOKUP($Q225,data,6,FALSE)),0,VLOOKUP($Q225,data,6,FALSE))</f>
        <v>18.149000000000001</v>
      </c>
      <c r="AD225" s="28">
        <f t="shared" si="89"/>
        <v>0</v>
      </c>
      <c r="AE225" s="28">
        <f>IF(ISNA(VLOOKUP($Q225,data,13,FALSE)),0,VLOOKUP($Q225,data,13,FALSE))</f>
        <v>1.1459999999999999</v>
      </c>
      <c r="AF225" s="28">
        <f t="shared" si="90"/>
        <v>10050.92</v>
      </c>
      <c r="AG225" s="28">
        <f t="shared" si="85"/>
        <v>3.35</v>
      </c>
      <c r="AH225" s="28">
        <f>IF(ISNA(VLOOKUP($Q225,data,11,FALSE)),0,VLOOKUP($Q225,data,11,FALSE))</f>
        <v>638.91200000000003</v>
      </c>
      <c r="AI225" s="28">
        <f t="shared" si="80"/>
        <v>0</v>
      </c>
      <c r="AJ225" s="28">
        <f t="shared" si="87"/>
        <v>9408.6579999999994</v>
      </c>
      <c r="AK225" s="30">
        <f>'Report Inputs'!$F$2</f>
        <v>55.9</v>
      </c>
      <c r="AL225" s="28">
        <f>'Report Inputs'!$E$2</f>
        <v>1080</v>
      </c>
      <c r="AM225" s="28">
        <f>IF(ISNA(VLOOKUP($Q225,data,14,FALSE)),0,VLOOKUP($Q225,data,14,FALSE))</f>
        <v>44.006999999999998</v>
      </c>
      <c r="AN225" s="26" t="s">
        <v>744</v>
      </c>
      <c r="AS225" s="26" t="s">
        <v>76</v>
      </c>
      <c r="AT225" s="26" t="s">
        <v>77</v>
      </c>
      <c r="AU225" s="26" t="s">
        <v>78</v>
      </c>
      <c r="AV225" s="31">
        <f t="shared" ca="1" si="79"/>
        <v>42376.365370833337</v>
      </c>
    </row>
    <row r="226" spans="1:48">
      <c r="A226" s="26">
        <v>7</v>
      </c>
      <c r="B226" s="26">
        <f>MONTH('Report Inputs'!$B$2)</f>
        <v>11</v>
      </c>
      <c r="C226" s="26">
        <f>YEAR('Report Inputs'!$B$2)</f>
        <v>2015</v>
      </c>
      <c r="D226" s="26">
        <v>66571</v>
      </c>
      <c r="F226" s="26" t="s">
        <v>65</v>
      </c>
      <c r="G226" s="26" t="s">
        <v>66</v>
      </c>
      <c r="H226" s="26" t="s">
        <v>67</v>
      </c>
      <c r="I226" s="26" t="s">
        <v>68</v>
      </c>
      <c r="J226" s="26" t="s">
        <v>69</v>
      </c>
      <c r="K226" s="26">
        <v>713</v>
      </c>
      <c r="L226" s="26" t="s">
        <v>70</v>
      </c>
      <c r="M226" s="26">
        <v>713</v>
      </c>
      <c r="N226" s="26" t="s">
        <v>71</v>
      </c>
      <c r="O226" s="26" t="s">
        <v>72</v>
      </c>
      <c r="P226" s="26">
        <v>45</v>
      </c>
      <c r="Q226" s="27">
        <v>17603</v>
      </c>
      <c r="R226" s="26">
        <v>0</v>
      </c>
      <c r="S226" s="26" t="s">
        <v>745</v>
      </c>
      <c r="T226" s="26" t="s">
        <v>80</v>
      </c>
      <c r="U226" s="26" t="str">
        <f t="shared" si="82"/>
        <v>PR</v>
      </c>
      <c r="V226" s="26">
        <f t="shared" si="83"/>
        <v>30</v>
      </c>
      <c r="W226" s="26" t="s">
        <v>88</v>
      </c>
      <c r="X226" s="26">
        <v>16</v>
      </c>
      <c r="Y226" s="26" t="s">
        <v>74</v>
      </c>
      <c r="Z226" s="26" t="s">
        <v>75</v>
      </c>
      <c r="AA226" s="28">
        <f>IF(ISNA(VLOOKUP($Q226,data,5,FALSE)),0,VLOOKUP($Q226,data,5,FALSE))</f>
        <v>0.48799999999999999</v>
      </c>
      <c r="AB226" s="28">
        <f>IF(ISNA(VLOOKUP($Q226,data,7,FALSE)),0,VLOOKUP($Q226,data,7,FALSE))</f>
        <v>11.569000000000001</v>
      </c>
      <c r="AC226" s="28">
        <f>IF(ISNA(VLOOKUP($Q226,data,6,FALSE)),0,VLOOKUP($Q226,data,6,FALSE))</f>
        <v>11.441000000000001</v>
      </c>
      <c r="AD226" s="28">
        <f t="shared" si="89"/>
        <v>0</v>
      </c>
      <c r="AE226" s="28">
        <f>IF(ISNA(VLOOKUP($Q226,data,13,FALSE)),0,VLOOKUP($Q226,data,13,FALSE))</f>
        <v>0.61599999999999999</v>
      </c>
      <c r="AF226" s="28">
        <f t="shared" si="90"/>
        <v>4224.38</v>
      </c>
      <c r="AG226" s="28">
        <f t="shared" si="85"/>
        <v>2.21</v>
      </c>
      <c r="AH226" s="28">
        <f>IF(ISNA(VLOOKUP($Q226,data,11,FALSE)),0,VLOOKUP($Q226,data,11,FALSE))</f>
        <v>386.101</v>
      </c>
      <c r="AI226" s="28">
        <f t="shared" si="80"/>
        <v>0</v>
      </c>
      <c r="AJ226" s="28">
        <f t="shared" si="87"/>
        <v>3836.069</v>
      </c>
      <c r="AK226" s="30">
        <f>'Report Inputs'!$F$2</f>
        <v>55.9</v>
      </c>
      <c r="AL226" s="28">
        <f>'Report Inputs'!$E$2</f>
        <v>1080</v>
      </c>
      <c r="AM226" s="28">
        <f>IF(ISNA(VLOOKUP($Q226,data,14,FALSE)),0,VLOOKUP($Q226,data,14,FALSE))</f>
        <v>82.772000000000006</v>
      </c>
      <c r="AN226" s="26" t="s">
        <v>744</v>
      </c>
      <c r="AS226" s="26" t="s">
        <v>76</v>
      </c>
      <c r="AT226" s="26" t="s">
        <v>77</v>
      </c>
      <c r="AU226" s="26" t="s">
        <v>78</v>
      </c>
      <c r="AV226" s="31">
        <f t="shared" ca="1" si="79"/>
        <v>42376.365370833337</v>
      </c>
    </row>
    <row r="227" spans="1:48" s="32" customFormat="1">
      <c r="A227" s="32">
        <v>7</v>
      </c>
      <c r="B227" s="32">
        <f>MONTH('Report Inputs'!$B$2)</f>
        <v>11</v>
      </c>
      <c r="C227" s="32">
        <f>YEAR('Report Inputs'!$B$2)</f>
        <v>2015</v>
      </c>
      <c r="D227" s="32">
        <v>66571</v>
      </c>
      <c r="F227" s="32" t="s">
        <v>65</v>
      </c>
      <c r="G227" s="32" t="s">
        <v>66</v>
      </c>
      <c r="H227" s="32" t="s">
        <v>67</v>
      </c>
      <c r="I227" s="32" t="s">
        <v>68</v>
      </c>
      <c r="J227" s="32" t="s">
        <v>69</v>
      </c>
      <c r="K227" s="32">
        <v>713</v>
      </c>
      <c r="L227" s="32" t="s">
        <v>70</v>
      </c>
      <c r="M227" s="32">
        <v>713</v>
      </c>
      <c r="N227" s="32" t="s">
        <v>71</v>
      </c>
      <c r="O227" s="32" t="s">
        <v>72</v>
      </c>
      <c r="P227" s="32">
        <v>45</v>
      </c>
      <c r="Q227" s="33">
        <v>17604</v>
      </c>
      <c r="R227" s="32">
        <v>0</v>
      </c>
      <c r="S227" s="32" t="s">
        <v>743</v>
      </c>
      <c r="T227" s="32" t="s">
        <v>681</v>
      </c>
      <c r="U227" s="26" t="str">
        <f t="shared" si="82"/>
        <v>PR</v>
      </c>
      <c r="V227" s="32">
        <f t="shared" si="83"/>
        <v>30</v>
      </c>
      <c r="W227" s="32" t="s">
        <v>88</v>
      </c>
      <c r="X227" s="32">
        <v>16</v>
      </c>
      <c r="Y227" s="32" t="s">
        <v>74</v>
      </c>
      <c r="Z227" s="32" t="s">
        <v>75</v>
      </c>
      <c r="AA227" s="29">
        <f>IF(ISNA(VLOOKUP($Q227,data,5,FALSE)),0,VLOOKUP($Q227,data,5,FALSE))*0.2</f>
        <v>0.1168</v>
      </c>
      <c r="AB227" s="29">
        <f>IF(ISNA(VLOOKUP($Q227,data,7,FALSE)),0,VLOOKUP($Q227,data,7,FALSE))*0.2</f>
        <v>2.7010000000000005</v>
      </c>
      <c r="AC227" s="29">
        <f>IF(ISNA(VLOOKUP($Q227,data,6,FALSE)),0,VLOOKUP($Q227,data,6,FALSE))*0.2</f>
        <v>2.6738</v>
      </c>
      <c r="AD227" s="29">
        <f t="shared" si="89"/>
        <v>0</v>
      </c>
      <c r="AE227" s="29">
        <f>IF(ISNA(VLOOKUP($Q227,data,13,FALSE)),0,VLOOKUP($Q227,data,13,FALSE))*0.2</f>
        <v>0.14399999999999999</v>
      </c>
      <c r="AF227" s="29">
        <f>IF(ISNA(VLOOKUP($Q227,data,9,FALSE)),0,VLOOKUP($Q227,data,9,FALSE))*0.2</f>
        <v>980.09</v>
      </c>
      <c r="AG227" s="29">
        <f>IF(ISNA(VLOOKUP($Q227,data,10,FALSE)),0,VLOOKUP($Q227,data,10,FALSE))*0.2</f>
        <v>0.51600000000000001</v>
      </c>
      <c r="AH227" s="29">
        <f>IF(ISNA(VLOOKUP($Q227,data,11,FALSE)),0,VLOOKUP($Q227,data,11,FALSE))*0.2</f>
        <v>84.079800000000006</v>
      </c>
      <c r="AI227" s="29">
        <f t="shared" si="80"/>
        <v>0</v>
      </c>
      <c r="AJ227" s="29">
        <f>IF(ISNA(VLOOKUP($Q227,data,8,FALSE)),0,VLOOKUP($Q227,data,8,FALSE))*0.2</f>
        <v>895.49419999999998</v>
      </c>
      <c r="AK227" s="34">
        <f>'Report Inputs'!$F$2</f>
        <v>55.9</v>
      </c>
      <c r="AL227" s="29">
        <f>'Report Inputs'!$E$2</f>
        <v>1080</v>
      </c>
      <c r="AM227" s="29">
        <f>IF(ISNA(VLOOKUP($Q227,data,14,FALSE)),0,VLOOKUP($Q227,data,14,FALSE))*0.2</f>
        <v>19.322400000000002</v>
      </c>
      <c r="AN227" s="32" t="s">
        <v>744</v>
      </c>
      <c r="AS227" s="32" t="s">
        <v>76</v>
      </c>
      <c r="AT227" s="32" t="s">
        <v>77</v>
      </c>
      <c r="AU227" s="32" t="s">
        <v>78</v>
      </c>
      <c r="AV227" s="35">
        <f t="shared" ca="1" si="79"/>
        <v>42376.365370833337</v>
      </c>
    </row>
    <row r="228" spans="1:48" s="32" customFormat="1">
      <c r="A228" s="32">
        <v>7</v>
      </c>
      <c r="B228" s="32">
        <f>MONTH('Report Inputs'!$B$2)</f>
        <v>11</v>
      </c>
      <c r="C228" s="32">
        <f>YEAR('Report Inputs'!$B$2)</f>
        <v>2015</v>
      </c>
      <c r="D228" s="32">
        <v>66571</v>
      </c>
      <c r="F228" s="32" t="s">
        <v>65</v>
      </c>
      <c r="G228" s="32" t="s">
        <v>66</v>
      </c>
      <c r="H228" s="32" t="s">
        <v>67</v>
      </c>
      <c r="I228" s="32" t="s">
        <v>68</v>
      </c>
      <c r="J228" s="32" t="s">
        <v>69</v>
      </c>
      <c r="K228" s="32">
        <v>713</v>
      </c>
      <c r="L228" s="32" t="s">
        <v>70</v>
      </c>
      <c r="M228" s="32">
        <v>713</v>
      </c>
      <c r="N228" s="32" t="s">
        <v>71</v>
      </c>
      <c r="O228" s="32" t="s">
        <v>72</v>
      </c>
      <c r="P228" s="32">
        <v>45</v>
      </c>
      <c r="Q228" s="33">
        <v>17604</v>
      </c>
      <c r="R228" s="32">
        <v>0</v>
      </c>
      <c r="S228" s="32" t="s">
        <v>743</v>
      </c>
      <c r="T228" s="32" t="s">
        <v>694</v>
      </c>
      <c r="U228" s="26" t="str">
        <f t="shared" si="82"/>
        <v>PR</v>
      </c>
      <c r="V228" s="32">
        <f t="shared" si="83"/>
        <v>30</v>
      </c>
      <c r="W228" s="32" t="s">
        <v>88</v>
      </c>
      <c r="X228" s="32">
        <v>16</v>
      </c>
      <c r="Y228" s="32" t="s">
        <v>74</v>
      </c>
      <c r="Z228" s="32" t="s">
        <v>75</v>
      </c>
      <c r="AA228" s="29">
        <f>IF(ISNA(VLOOKUP($Q228,data,5,FALSE)),0,VLOOKUP($Q228,data,5,FALSE))*0.2</f>
        <v>0.1168</v>
      </c>
      <c r="AB228" s="29">
        <f>IF(ISNA(VLOOKUP($Q228,data,7,FALSE)),0,VLOOKUP($Q228,data,7,FALSE))*0.2</f>
        <v>2.7010000000000005</v>
      </c>
      <c r="AC228" s="29">
        <f>IF(ISNA(VLOOKUP($Q228,data,6,FALSE)),0,VLOOKUP($Q228,data,6,FALSE))*0.2</f>
        <v>2.6738</v>
      </c>
      <c r="AD228" s="29">
        <f t="shared" si="89"/>
        <v>0</v>
      </c>
      <c r="AE228" s="29">
        <f>IF(ISNA(VLOOKUP($Q228,data,13,FALSE)),0,VLOOKUP($Q228,data,13,FALSE))*0.2</f>
        <v>0.14399999999999999</v>
      </c>
      <c r="AF228" s="29">
        <f>IF(ISNA(VLOOKUP($Q228,data,9,FALSE)),0,VLOOKUP($Q228,data,9,FALSE))*0.2</f>
        <v>980.09</v>
      </c>
      <c r="AG228" s="29">
        <f>IF(ISNA(VLOOKUP($Q228,data,10,FALSE)),0,VLOOKUP($Q228,data,10,FALSE))*0.2</f>
        <v>0.51600000000000001</v>
      </c>
      <c r="AH228" s="29">
        <f>IF(ISNA(VLOOKUP($Q228,data,11,FALSE)),0,VLOOKUP($Q228,data,11,FALSE))*0.2</f>
        <v>84.079800000000006</v>
      </c>
      <c r="AI228" s="29">
        <f t="shared" si="80"/>
        <v>0</v>
      </c>
      <c r="AJ228" s="29">
        <f>IF(ISNA(VLOOKUP($Q228,data,8,FALSE)),0,VLOOKUP($Q228,data,8,FALSE))*0.2</f>
        <v>895.49419999999998</v>
      </c>
      <c r="AK228" s="34">
        <f>'Report Inputs'!$F$2</f>
        <v>55.9</v>
      </c>
      <c r="AL228" s="29">
        <f>'Report Inputs'!$E$2</f>
        <v>1080</v>
      </c>
      <c r="AM228" s="29">
        <f>IF(ISNA(VLOOKUP($Q228,data,14,FALSE)),0,VLOOKUP($Q228,data,14,FALSE))*0.2</f>
        <v>19.322400000000002</v>
      </c>
      <c r="AN228" s="32" t="s">
        <v>744</v>
      </c>
      <c r="AS228" s="32" t="s">
        <v>76</v>
      </c>
      <c r="AT228" s="32" t="s">
        <v>77</v>
      </c>
      <c r="AU228" s="32" t="s">
        <v>78</v>
      </c>
      <c r="AV228" s="35">
        <f t="shared" ca="1" si="79"/>
        <v>42376.365370833337</v>
      </c>
    </row>
    <row r="229" spans="1:48" s="32" customFormat="1">
      <c r="A229" s="32">
        <v>7</v>
      </c>
      <c r="B229" s="32">
        <f>MONTH('Report Inputs'!$B$2)</f>
        <v>11</v>
      </c>
      <c r="C229" s="32">
        <f>YEAR('Report Inputs'!$B$2)</f>
        <v>2015</v>
      </c>
      <c r="D229" s="32">
        <v>66571</v>
      </c>
      <c r="F229" s="32" t="s">
        <v>65</v>
      </c>
      <c r="G229" s="32" t="s">
        <v>66</v>
      </c>
      <c r="H229" s="32" t="s">
        <v>67</v>
      </c>
      <c r="I229" s="32" t="s">
        <v>68</v>
      </c>
      <c r="J229" s="32" t="s">
        <v>69</v>
      </c>
      <c r="K229" s="32">
        <v>713</v>
      </c>
      <c r="L229" s="32" t="s">
        <v>70</v>
      </c>
      <c r="M229" s="32">
        <v>713</v>
      </c>
      <c r="N229" s="32" t="s">
        <v>71</v>
      </c>
      <c r="O229" s="32" t="s">
        <v>72</v>
      </c>
      <c r="P229" s="32">
        <v>45</v>
      </c>
      <c r="Q229" s="33">
        <v>17604</v>
      </c>
      <c r="R229" s="32">
        <v>0</v>
      </c>
      <c r="S229" s="32" t="s">
        <v>742</v>
      </c>
      <c r="T229" s="32" t="s">
        <v>80</v>
      </c>
      <c r="U229" s="26" t="str">
        <f t="shared" si="82"/>
        <v>PR</v>
      </c>
      <c r="V229" s="32">
        <f t="shared" si="83"/>
        <v>30</v>
      </c>
      <c r="W229" s="32" t="s">
        <v>88</v>
      </c>
      <c r="X229" s="32">
        <v>16</v>
      </c>
      <c r="Y229" s="32" t="s">
        <v>74</v>
      </c>
      <c r="Z229" s="32" t="s">
        <v>75</v>
      </c>
      <c r="AA229" s="29">
        <f>IF(ISNA(VLOOKUP($Q229,data,5,FALSE)),0,VLOOKUP($Q229,data,5,FALSE))*0.6</f>
        <v>0.35039999999999999</v>
      </c>
      <c r="AB229" s="29">
        <f>IF(ISNA(VLOOKUP($Q229,data,7,FALSE)),0,VLOOKUP($Q229,data,7,FALSE))*0.6</f>
        <v>8.1029999999999998</v>
      </c>
      <c r="AC229" s="29">
        <f>IF(ISNA(VLOOKUP($Q229,data,6,FALSE)),0,VLOOKUP($Q229,data,6,FALSE))*0.6</f>
        <v>8.0213999999999999</v>
      </c>
      <c r="AD229" s="29">
        <f t="shared" si="89"/>
        <v>0</v>
      </c>
      <c r="AE229" s="29">
        <f>IF(ISNA(VLOOKUP($Q229,data,13,FALSE)),0,VLOOKUP($Q229,data,13,FALSE))*0.6</f>
        <v>0.432</v>
      </c>
      <c r="AF229" s="29">
        <f>IF(ISNA(VLOOKUP($Q229,data,9,FALSE)),0,VLOOKUP($Q229,data,9,FALSE))*0.6</f>
        <v>2940.27</v>
      </c>
      <c r="AG229" s="29">
        <f>IF(ISNA(VLOOKUP($Q229,data,10,FALSE)),0,VLOOKUP($Q229,data,10,FALSE))*0.6</f>
        <v>1.548</v>
      </c>
      <c r="AH229" s="29">
        <f>IF(ISNA(VLOOKUP($Q229,data,11,FALSE)),0,VLOOKUP($Q229,data,11,FALSE))*0.6</f>
        <v>252.23939999999999</v>
      </c>
      <c r="AI229" s="29">
        <f t="shared" si="80"/>
        <v>0</v>
      </c>
      <c r="AJ229" s="29">
        <f>IF(ISNA(VLOOKUP($Q229,data,8,FALSE)),0,VLOOKUP($Q229,data,8,FALSE))*0.6</f>
        <v>2686.4825999999998</v>
      </c>
      <c r="AK229" s="34">
        <f>'Report Inputs'!$F$2</f>
        <v>55.9</v>
      </c>
      <c r="AL229" s="29">
        <f>'Report Inputs'!$E$2</f>
        <v>1080</v>
      </c>
      <c r="AM229" s="29">
        <f>IF(ISNA(VLOOKUP($Q229,data,14,FALSE)),0,VLOOKUP($Q229,data,14,FALSE))*0.6</f>
        <v>57.967199999999991</v>
      </c>
      <c r="AN229" s="32" t="s">
        <v>744</v>
      </c>
      <c r="AS229" s="32" t="s">
        <v>76</v>
      </c>
      <c r="AT229" s="32" t="s">
        <v>77</v>
      </c>
      <c r="AU229" s="32" t="s">
        <v>78</v>
      </c>
      <c r="AV229" s="35">
        <f t="shared" ca="1" si="79"/>
        <v>42376.365370833337</v>
      </c>
    </row>
    <row r="230" spans="1:48">
      <c r="A230" s="26">
        <v>7</v>
      </c>
      <c r="B230" s="26">
        <f>MONTH('Report Inputs'!$B$2)</f>
        <v>11</v>
      </c>
      <c r="C230" s="26">
        <f>YEAR('Report Inputs'!$B$2)</f>
        <v>2015</v>
      </c>
      <c r="D230" s="26">
        <v>66571</v>
      </c>
      <c r="F230" s="26" t="s">
        <v>65</v>
      </c>
      <c r="G230" s="26" t="s">
        <v>66</v>
      </c>
      <c r="H230" s="26" t="s">
        <v>67</v>
      </c>
      <c r="I230" s="26" t="s">
        <v>68</v>
      </c>
      <c r="J230" s="26" t="s">
        <v>69</v>
      </c>
      <c r="K230" s="26">
        <v>713</v>
      </c>
      <c r="L230" s="26" t="s">
        <v>70</v>
      </c>
      <c r="M230" s="26">
        <v>713</v>
      </c>
      <c r="N230" s="26" t="s">
        <v>71</v>
      </c>
      <c r="O230" s="26" t="s">
        <v>72</v>
      </c>
      <c r="P230" s="26">
        <v>45</v>
      </c>
      <c r="Q230" s="27">
        <v>17605</v>
      </c>
      <c r="R230" s="26">
        <v>0</v>
      </c>
      <c r="S230" s="26" t="s">
        <v>749</v>
      </c>
      <c r="T230" s="26" t="s">
        <v>80</v>
      </c>
      <c r="U230" s="26" t="str">
        <f t="shared" si="82"/>
        <v>PR</v>
      </c>
      <c r="V230" s="26">
        <f t="shared" si="83"/>
        <v>30</v>
      </c>
      <c r="W230" s="26" t="s">
        <v>88</v>
      </c>
      <c r="X230" s="26">
        <v>16</v>
      </c>
      <c r="Y230" s="26" t="s">
        <v>74</v>
      </c>
      <c r="Z230" s="26" t="s">
        <v>75</v>
      </c>
      <c r="AA230" s="28">
        <f t="shared" ref="AA230:AA261" si="91">IF(ISNA(VLOOKUP($Q230,data,5,FALSE)),0,VLOOKUP($Q230,data,5,FALSE))</f>
        <v>0.438</v>
      </c>
      <c r="AB230" s="28">
        <f t="shared" ref="AB230:AB261" si="92">IF(ISNA(VLOOKUP($Q230,data,7,FALSE)),0,VLOOKUP($Q230,data,7,FALSE))</f>
        <v>10.334</v>
      </c>
      <c r="AC230" s="28">
        <f t="shared" ref="AC230:AC261" si="93">IF(ISNA(VLOOKUP($Q230,data,6,FALSE)),0,VLOOKUP($Q230,data,6,FALSE))</f>
        <v>10.222</v>
      </c>
      <c r="AD230" s="28">
        <f t="shared" si="89"/>
        <v>1</v>
      </c>
      <c r="AE230" s="28">
        <f t="shared" ref="AE230:AE261" si="94">IF(ISNA(VLOOKUP($Q230,data,13,FALSE)),0,VLOOKUP($Q230,data,13,FALSE))</f>
        <v>0.55000000000000004</v>
      </c>
      <c r="AF230" s="28">
        <f t="shared" ref="AF230:AF293" si="95">IF(ISNA(VLOOKUP($Q230,data,9,FALSE)),0,VLOOKUP($Q230,data,9,FALSE))</f>
        <v>3795.75</v>
      </c>
      <c r="AG230" s="28">
        <f t="shared" si="85"/>
        <v>1.98</v>
      </c>
      <c r="AH230" s="29">
        <f>IF(ISNA(VLOOKUP($Q230,data,11,FALSE)),0,VLOOKUP($Q230,data,11,FALSE))</f>
        <v>367.50900000000001</v>
      </c>
      <c r="AI230" s="28">
        <f t="shared" ref="AI230:AI293" si="96">ROUND(AF230,0)-ROUND(AG230,0)-ROUND(AH230,0)-ROUND(AJ230,0)</f>
        <v>0</v>
      </c>
      <c r="AJ230" s="28">
        <f t="shared" si="87"/>
        <v>3426.261</v>
      </c>
      <c r="AK230" s="30">
        <f>'Report Inputs'!$F$2</f>
        <v>55.9</v>
      </c>
      <c r="AL230" s="28">
        <f>'Report Inputs'!$E$2</f>
        <v>1080</v>
      </c>
      <c r="AM230" s="28">
        <f t="shared" ref="AM230:AM261" si="97">IF(ISNA(VLOOKUP($Q230,data,14,FALSE)),0,VLOOKUP($Q230,data,14,FALSE))</f>
        <v>73.930000000000007</v>
      </c>
      <c r="AN230" s="26" t="s">
        <v>744</v>
      </c>
      <c r="AS230" s="26" t="s">
        <v>76</v>
      </c>
      <c r="AT230" s="26" t="s">
        <v>77</v>
      </c>
      <c r="AU230" s="26" t="s">
        <v>78</v>
      </c>
      <c r="AV230" s="31">
        <f t="shared" ca="1" si="79"/>
        <v>42376.365370833337</v>
      </c>
    </row>
    <row r="231" spans="1:48">
      <c r="A231" s="26">
        <v>7</v>
      </c>
      <c r="B231" s="26">
        <f>MONTH('Report Inputs'!$B$2)</f>
        <v>11</v>
      </c>
      <c r="C231" s="26">
        <f>YEAR('Report Inputs'!$B$2)</f>
        <v>2015</v>
      </c>
      <c r="D231" s="26">
        <v>66571</v>
      </c>
      <c r="F231" s="26" t="s">
        <v>65</v>
      </c>
      <c r="G231" s="26" t="s">
        <v>66</v>
      </c>
      <c r="H231" s="26" t="s">
        <v>67</v>
      </c>
      <c r="I231" s="26" t="s">
        <v>68</v>
      </c>
      <c r="J231" s="26" t="s">
        <v>69</v>
      </c>
      <c r="K231" s="26">
        <v>713</v>
      </c>
      <c r="L231" s="26" t="s">
        <v>70</v>
      </c>
      <c r="M231" s="26">
        <v>713</v>
      </c>
      <c r="N231" s="26" t="s">
        <v>71</v>
      </c>
      <c r="O231" s="26" t="s">
        <v>72</v>
      </c>
      <c r="P231" s="26">
        <v>45</v>
      </c>
      <c r="Q231" s="27">
        <v>17606</v>
      </c>
      <c r="R231" s="26">
        <v>0</v>
      </c>
      <c r="S231" s="26" t="s">
        <v>734</v>
      </c>
      <c r="T231" s="26" t="s">
        <v>80</v>
      </c>
      <c r="U231" s="26" t="str">
        <f t="shared" si="82"/>
        <v>PR</v>
      </c>
      <c r="V231" s="26">
        <f t="shared" si="83"/>
        <v>30</v>
      </c>
      <c r="W231" s="26" t="s">
        <v>88</v>
      </c>
      <c r="X231" s="26">
        <v>16</v>
      </c>
      <c r="Y231" s="26" t="s">
        <v>74</v>
      </c>
      <c r="Z231" s="26" t="s">
        <v>75</v>
      </c>
      <c r="AA231" s="28">
        <f t="shared" si="91"/>
        <v>0.49199999999999999</v>
      </c>
      <c r="AB231" s="28">
        <f t="shared" si="92"/>
        <v>11.45</v>
      </c>
      <c r="AC231" s="28">
        <f t="shared" si="93"/>
        <v>11.332000000000001</v>
      </c>
      <c r="AD231" s="28">
        <f t="shared" si="89"/>
        <v>1</v>
      </c>
      <c r="AE231" s="28">
        <f t="shared" si="94"/>
        <v>0.61</v>
      </c>
      <c r="AF231" s="28">
        <f t="shared" si="95"/>
        <v>4182.8599999999997</v>
      </c>
      <c r="AG231" s="28">
        <f t="shared" si="85"/>
        <v>2.19</v>
      </c>
      <c r="AH231" s="28">
        <v>385</v>
      </c>
      <c r="AI231" s="28">
        <f t="shared" si="96"/>
        <v>0</v>
      </c>
      <c r="AJ231" s="28">
        <f t="shared" si="87"/>
        <v>3796.37</v>
      </c>
      <c r="AK231" s="30">
        <f>'Report Inputs'!$F$2</f>
        <v>55.9</v>
      </c>
      <c r="AL231" s="28">
        <f>'Report Inputs'!$E$2</f>
        <v>1080</v>
      </c>
      <c r="AM231" s="28">
        <f t="shared" si="97"/>
        <v>81.915999999999997</v>
      </c>
      <c r="AN231" s="26" t="s">
        <v>744</v>
      </c>
      <c r="AS231" s="26" t="s">
        <v>76</v>
      </c>
      <c r="AT231" s="26" t="s">
        <v>77</v>
      </c>
      <c r="AU231" s="26" t="s">
        <v>78</v>
      </c>
      <c r="AV231" s="31">
        <f t="shared" ca="1" si="79"/>
        <v>42376.365370833337</v>
      </c>
    </row>
    <row r="232" spans="1:48">
      <c r="A232" s="26">
        <v>7</v>
      </c>
      <c r="B232" s="26">
        <f>MONTH('Report Inputs'!$B$2)</f>
        <v>11</v>
      </c>
      <c r="C232" s="26">
        <f>YEAR('Report Inputs'!$B$2)</f>
        <v>2015</v>
      </c>
      <c r="D232" s="26">
        <v>66571</v>
      </c>
      <c r="F232" s="26" t="s">
        <v>65</v>
      </c>
      <c r="G232" s="26" t="s">
        <v>66</v>
      </c>
      <c r="H232" s="26" t="s">
        <v>67</v>
      </c>
      <c r="I232" s="26" t="s">
        <v>68</v>
      </c>
      <c r="J232" s="26" t="s">
        <v>69</v>
      </c>
      <c r="K232" s="26">
        <v>713</v>
      </c>
      <c r="L232" s="26" t="s">
        <v>70</v>
      </c>
      <c r="M232" s="26">
        <v>713</v>
      </c>
      <c r="N232" s="26" t="s">
        <v>71</v>
      </c>
      <c r="O232" s="26" t="s">
        <v>72</v>
      </c>
      <c r="P232" s="26">
        <v>45</v>
      </c>
      <c r="Q232" s="27">
        <v>17607</v>
      </c>
      <c r="R232" s="26">
        <v>0</v>
      </c>
      <c r="S232" s="26" t="s">
        <v>751</v>
      </c>
      <c r="T232" s="26" t="s">
        <v>80</v>
      </c>
      <c r="U232" s="26" t="str">
        <f t="shared" si="82"/>
        <v>PR</v>
      </c>
      <c r="V232" s="26">
        <f t="shared" si="83"/>
        <v>30</v>
      </c>
      <c r="W232" s="26" t="s">
        <v>88</v>
      </c>
      <c r="X232" s="26">
        <v>16</v>
      </c>
      <c r="Y232" s="26" t="s">
        <v>74</v>
      </c>
      <c r="Z232" s="26" t="s">
        <v>75</v>
      </c>
      <c r="AA232" s="28">
        <f t="shared" si="91"/>
        <v>0.496</v>
      </c>
      <c r="AB232" s="28">
        <f t="shared" si="92"/>
        <v>11.755000000000001</v>
      </c>
      <c r="AC232" s="28">
        <f t="shared" si="93"/>
        <v>11.625999999999999</v>
      </c>
      <c r="AD232" s="28">
        <f t="shared" si="89"/>
        <v>1</v>
      </c>
      <c r="AE232" s="28">
        <f t="shared" si="94"/>
        <v>0.625</v>
      </c>
      <c r="AF232" s="28">
        <f t="shared" si="95"/>
        <v>4288.42</v>
      </c>
      <c r="AG232" s="28">
        <f t="shared" si="85"/>
        <v>2.25</v>
      </c>
      <c r="AH232" s="28">
        <f t="shared" ref="AH232:AH294" si="98">IF(ISNA(VLOOKUP($Q232,data,11,FALSE)),0,VLOOKUP($Q232,data,11,FALSE))</f>
        <v>388.87900000000002</v>
      </c>
      <c r="AI232" s="28">
        <f t="shared" si="96"/>
        <v>0</v>
      </c>
      <c r="AJ232" s="28">
        <f t="shared" si="87"/>
        <v>3897.2910000000002</v>
      </c>
      <c r="AK232" s="30">
        <f>'Report Inputs'!$F$2</f>
        <v>55.9</v>
      </c>
      <c r="AL232" s="28">
        <f>'Report Inputs'!$E$2</f>
        <v>1080</v>
      </c>
      <c r="AM232" s="28">
        <f t="shared" si="97"/>
        <v>84.093000000000004</v>
      </c>
      <c r="AN232" s="26" t="s">
        <v>744</v>
      </c>
      <c r="AS232" s="26" t="s">
        <v>76</v>
      </c>
      <c r="AT232" s="26" t="s">
        <v>77</v>
      </c>
      <c r="AU232" s="26" t="s">
        <v>78</v>
      </c>
      <c r="AV232" s="31">
        <f t="shared" ca="1" si="79"/>
        <v>42376.365370833337</v>
      </c>
    </row>
    <row r="233" spans="1:48">
      <c r="A233" s="26">
        <v>7</v>
      </c>
      <c r="B233" s="26">
        <f>MONTH('Report Inputs'!$B$2)</f>
        <v>11</v>
      </c>
      <c r="C233" s="26">
        <f>YEAR('Report Inputs'!$B$2)</f>
        <v>2015</v>
      </c>
      <c r="D233" s="26">
        <v>66571</v>
      </c>
      <c r="F233" s="26" t="s">
        <v>65</v>
      </c>
      <c r="G233" s="26" t="s">
        <v>66</v>
      </c>
      <c r="H233" s="26" t="s">
        <v>67</v>
      </c>
      <c r="I233" s="26" t="s">
        <v>68</v>
      </c>
      <c r="J233" s="26" t="s">
        <v>69</v>
      </c>
      <c r="K233" s="26">
        <v>713</v>
      </c>
      <c r="L233" s="26" t="s">
        <v>70</v>
      </c>
      <c r="M233" s="26">
        <v>713</v>
      </c>
      <c r="N233" s="26" t="s">
        <v>71</v>
      </c>
      <c r="O233" s="26" t="s">
        <v>72</v>
      </c>
      <c r="P233" s="26">
        <v>45</v>
      </c>
      <c r="Q233" s="27">
        <v>17692</v>
      </c>
      <c r="R233" s="26">
        <v>0</v>
      </c>
      <c r="S233" s="26" t="s">
        <v>855</v>
      </c>
      <c r="T233" s="26" t="s">
        <v>80</v>
      </c>
      <c r="U233" s="26" t="str">
        <f t="shared" si="82"/>
        <v>PR</v>
      </c>
      <c r="V233" s="26">
        <f t="shared" si="83"/>
        <v>21</v>
      </c>
      <c r="W233" s="26" t="s">
        <v>124</v>
      </c>
      <c r="X233" s="26">
        <v>15</v>
      </c>
      <c r="Y233" s="26" t="s">
        <v>74</v>
      </c>
      <c r="Z233" s="26" t="s">
        <v>75</v>
      </c>
      <c r="AA233" s="28">
        <f t="shared" si="91"/>
        <v>0.27800000000000002</v>
      </c>
      <c r="AB233" s="28">
        <f t="shared" si="92"/>
        <v>3.319</v>
      </c>
      <c r="AC233" s="28">
        <f t="shared" si="93"/>
        <v>3.4220000000000002</v>
      </c>
      <c r="AD233" s="28">
        <f t="shared" si="89"/>
        <v>0</v>
      </c>
      <c r="AE233" s="28">
        <f t="shared" si="94"/>
        <v>0.17499999999999999</v>
      </c>
      <c r="AF233" s="28">
        <f t="shared" si="95"/>
        <v>1233.71</v>
      </c>
      <c r="AG233" s="28">
        <f t="shared" si="85"/>
        <v>0.64</v>
      </c>
      <c r="AH233" s="28">
        <f t="shared" si="98"/>
        <v>256.38</v>
      </c>
      <c r="AI233" s="28">
        <f t="shared" si="96"/>
        <v>0</v>
      </c>
      <c r="AJ233" s="28">
        <f t="shared" si="87"/>
        <v>976.69</v>
      </c>
      <c r="AK233" s="30">
        <f>'Report Inputs'!$F$2</f>
        <v>55.9</v>
      </c>
      <c r="AL233" s="28">
        <f>'Report Inputs'!$E$2</f>
        <v>1080</v>
      </c>
      <c r="AM233" s="28">
        <f t="shared" si="97"/>
        <v>30.934000000000001</v>
      </c>
      <c r="AN233" s="26" t="s">
        <v>744</v>
      </c>
      <c r="AS233" s="26" t="s">
        <v>76</v>
      </c>
      <c r="AT233" s="26" t="s">
        <v>77</v>
      </c>
      <c r="AU233" s="26" t="s">
        <v>78</v>
      </c>
      <c r="AV233" s="31">
        <f t="shared" ca="1" si="79"/>
        <v>42376.365370833337</v>
      </c>
    </row>
    <row r="234" spans="1:48">
      <c r="A234" s="26">
        <v>7</v>
      </c>
      <c r="B234" s="26">
        <f>MONTH('Report Inputs'!$B$2)</f>
        <v>11</v>
      </c>
      <c r="C234" s="26">
        <f>YEAR('Report Inputs'!$B$2)</f>
        <v>2015</v>
      </c>
      <c r="D234" s="26">
        <v>66571</v>
      </c>
      <c r="F234" s="26" t="s">
        <v>65</v>
      </c>
      <c r="G234" s="26" t="s">
        <v>66</v>
      </c>
      <c r="H234" s="26" t="s">
        <v>67</v>
      </c>
      <c r="I234" s="26" t="s">
        <v>68</v>
      </c>
      <c r="J234" s="26" t="s">
        <v>69</v>
      </c>
      <c r="K234" s="26">
        <v>713</v>
      </c>
      <c r="L234" s="26" t="s">
        <v>70</v>
      </c>
      <c r="M234" s="26">
        <v>713</v>
      </c>
      <c r="N234" s="26" t="s">
        <v>71</v>
      </c>
      <c r="O234" s="26" t="s">
        <v>72</v>
      </c>
      <c r="P234" s="26">
        <v>45</v>
      </c>
      <c r="Q234" s="27">
        <v>17693</v>
      </c>
      <c r="R234" s="26">
        <v>0</v>
      </c>
      <c r="S234" s="26" t="s">
        <v>778</v>
      </c>
      <c r="T234" s="26" t="s">
        <v>80</v>
      </c>
      <c r="U234" s="26" t="str">
        <f t="shared" si="82"/>
        <v>PR</v>
      </c>
      <c r="V234" s="26">
        <f t="shared" si="83"/>
        <v>30</v>
      </c>
      <c r="W234" s="26" t="s">
        <v>73</v>
      </c>
      <c r="X234" s="26">
        <v>9</v>
      </c>
      <c r="Y234" s="26" t="s">
        <v>74</v>
      </c>
      <c r="Z234" s="26" t="s">
        <v>75</v>
      </c>
      <c r="AA234" s="28">
        <f t="shared" si="91"/>
        <v>0.58599999999999997</v>
      </c>
      <c r="AB234" s="28">
        <f t="shared" si="92"/>
        <v>12.25</v>
      </c>
      <c r="AC234" s="28">
        <f t="shared" si="93"/>
        <v>12.182</v>
      </c>
      <c r="AD234" s="28">
        <f t="shared" si="89"/>
        <v>0</v>
      </c>
      <c r="AE234" s="28">
        <f t="shared" si="94"/>
        <v>0.65400000000000003</v>
      </c>
      <c r="AF234" s="28">
        <f t="shared" si="95"/>
        <v>4498.1499999999996</v>
      </c>
      <c r="AG234" s="28">
        <f t="shared" si="85"/>
        <v>2.34</v>
      </c>
      <c r="AH234" s="28">
        <f t="shared" si="98"/>
        <v>401.84100000000001</v>
      </c>
      <c r="AI234" s="28">
        <f t="shared" si="96"/>
        <v>0</v>
      </c>
      <c r="AJ234" s="28">
        <f t="shared" si="87"/>
        <v>4093.9690000000001</v>
      </c>
      <c r="AK234" s="30">
        <f>'Report Inputs'!$F$2</f>
        <v>55.9</v>
      </c>
      <c r="AL234" s="28">
        <f>'Report Inputs'!$E$2</f>
        <v>1080</v>
      </c>
      <c r="AM234" s="28">
        <f t="shared" si="97"/>
        <v>80.897000000000006</v>
      </c>
      <c r="AN234" s="26" t="s">
        <v>744</v>
      </c>
      <c r="AS234" s="26" t="s">
        <v>76</v>
      </c>
      <c r="AT234" s="26" t="s">
        <v>77</v>
      </c>
      <c r="AU234" s="26" t="s">
        <v>78</v>
      </c>
      <c r="AV234" s="31">
        <f t="shared" ca="1" si="79"/>
        <v>42376.365370833337</v>
      </c>
    </row>
    <row r="235" spans="1:48">
      <c r="A235" s="26">
        <v>7</v>
      </c>
      <c r="B235" s="26">
        <f>MONTH('Report Inputs'!$B$2)</f>
        <v>11</v>
      </c>
      <c r="C235" s="26">
        <f>YEAR('Report Inputs'!$B$2)</f>
        <v>2015</v>
      </c>
      <c r="D235" s="26">
        <v>66571</v>
      </c>
      <c r="F235" s="26" t="s">
        <v>65</v>
      </c>
      <c r="G235" s="26" t="s">
        <v>66</v>
      </c>
      <c r="H235" s="26" t="s">
        <v>67</v>
      </c>
      <c r="I235" s="26" t="s">
        <v>68</v>
      </c>
      <c r="J235" s="26" t="s">
        <v>69</v>
      </c>
      <c r="K235" s="26">
        <v>713</v>
      </c>
      <c r="L235" s="26" t="s">
        <v>70</v>
      </c>
      <c r="M235" s="26">
        <v>713</v>
      </c>
      <c r="N235" s="26" t="s">
        <v>71</v>
      </c>
      <c r="O235" s="26" t="s">
        <v>72</v>
      </c>
      <c r="P235" s="26">
        <v>45</v>
      </c>
      <c r="Q235" s="27">
        <v>17694</v>
      </c>
      <c r="R235" s="26">
        <v>0</v>
      </c>
      <c r="S235" s="26" t="s">
        <v>809</v>
      </c>
      <c r="T235" s="26" t="s">
        <v>80</v>
      </c>
      <c r="U235" s="26" t="str">
        <f t="shared" si="82"/>
        <v>PR</v>
      </c>
      <c r="V235" s="26">
        <f t="shared" si="83"/>
        <v>30</v>
      </c>
      <c r="W235" s="26" t="s">
        <v>73</v>
      </c>
      <c r="X235" s="26">
        <v>9</v>
      </c>
      <c r="Y235" s="26" t="s">
        <v>74</v>
      </c>
      <c r="Z235" s="26" t="s">
        <v>75</v>
      </c>
      <c r="AA235" s="28">
        <f t="shared" si="91"/>
        <v>0.55500000000000005</v>
      </c>
      <c r="AB235" s="28">
        <f t="shared" si="92"/>
        <v>12.157999999999999</v>
      </c>
      <c r="AC235" s="28">
        <f t="shared" si="93"/>
        <v>12.067</v>
      </c>
      <c r="AD235" s="28">
        <f t="shared" si="89"/>
        <v>0</v>
      </c>
      <c r="AE235" s="28">
        <f t="shared" si="94"/>
        <v>0.64600000000000002</v>
      </c>
      <c r="AF235" s="28">
        <f t="shared" si="95"/>
        <v>4462.1899999999996</v>
      </c>
      <c r="AG235" s="28">
        <f t="shared" si="85"/>
        <v>2.3199999999999998</v>
      </c>
      <c r="AH235" s="28">
        <v>397</v>
      </c>
      <c r="AI235" s="28">
        <f t="shared" si="96"/>
        <v>0</v>
      </c>
      <c r="AJ235" s="28">
        <f t="shared" si="87"/>
        <v>4063.453</v>
      </c>
      <c r="AK235" s="30">
        <f>'Report Inputs'!$F$2</f>
        <v>55.9</v>
      </c>
      <c r="AL235" s="28">
        <f>'Report Inputs'!$E$2</f>
        <v>1080</v>
      </c>
      <c r="AM235" s="28">
        <f t="shared" si="97"/>
        <v>80.293000000000006</v>
      </c>
      <c r="AN235" s="26" t="s">
        <v>744</v>
      </c>
      <c r="AS235" s="26" t="s">
        <v>76</v>
      </c>
      <c r="AT235" s="26" t="s">
        <v>77</v>
      </c>
      <c r="AU235" s="26" t="s">
        <v>78</v>
      </c>
      <c r="AV235" s="31">
        <f t="shared" ca="1" si="79"/>
        <v>42376.365370833337</v>
      </c>
    </row>
    <row r="236" spans="1:48">
      <c r="A236" s="26">
        <v>7</v>
      </c>
      <c r="B236" s="26">
        <f>MONTH('Report Inputs'!$B$2)</f>
        <v>11</v>
      </c>
      <c r="C236" s="26">
        <f>YEAR('Report Inputs'!$B$2)</f>
        <v>2015</v>
      </c>
      <c r="D236" s="26">
        <v>66571</v>
      </c>
      <c r="F236" s="26" t="s">
        <v>65</v>
      </c>
      <c r="G236" s="26" t="s">
        <v>66</v>
      </c>
      <c r="H236" s="26" t="s">
        <v>67</v>
      </c>
      <c r="I236" s="26" t="s">
        <v>68</v>
      </c>
      <c r="J236" s="26" t="s">
        <v>69</v>
      </c>
      <c r="K236" s="26">
        <v>713</v>
      </c>
      <c r="L236" s="26" t="s">
        <v>70</v>
      </c>
      <c r="M236" s="26">
        <v>713</v>
      </c>
      <c r="N236" s="26" t="s">
        <v>71</v>
      </c>
      <c r="O236" s="26" t="s">
        <v>72</v>
      </c>
      <c r="P236" s="26">
        <v>45</v>
      </c>
      <c r="Q236" s="27">
        <v>17695</v>
      </c>
      <c r="R236" s="26">
        <v>0</v>
      </c>
      <c r="S236" s="26" t="s">
        <v>776</v>
      </c>
      <c r="T236" s="26" t="s">
        <v>80</v>
      </c>
      <c r="U236" s="26" t="str">
        <f t="shared" si="82"/>
        <v>PR</v>
      </c>
      <c r="V236" s="26">
        <f t="shared" si="83"/>
        <v>30</v>
      </c>
      <c r="W236" s="26" t="s">
        <v>73</v>
      </c>
      <c r="X236" s="26">
        <v>9</v>
      </c>
      <c r="Y236" s="26" t="s">
        <v>74</v>
      </c>
      <c r="Z236" s="26" t="s">
        <v>75</v>
      </c>
      <c r="AA236" s="28">
        <f t="shared" si="91"/>
        <v>0.32300000000000001</v>
      </c>
      <c r="AB236" s="28">
        <f t="shared" si="92"/>
        <v>6.9059999999999997</v>
      </c>
      <c r="AC236" s="28">
        <f t="shared" si="93"/>
        <v>6.8630000000000004</v>
      </c>
      <c r="AD236" s="28">
        <f t="shared" si="89"/>
        <v>0</v>
      </c>
      <c r="AE236" s="28">
        <f t="shared" si="94"/>
        <v>0.36599999999999999</v>
      </c>
      <c r="AF236" s="28">
        <f t="shared" si="95"/>
        <v>2626.49</v>
      </c>
      <c r="AG236" s="28">
        <f t="shared" si="85"/>
        <v>1.32</v>
      </c>
      <c r="AH236" s="28">
        <f t="shared" si="98"/>
        <v>316.79399999999998</v>
      </c>
      <c r="AI236" s="28">
        <f t="shared" si="96"/>
        <v>0</v>
      </c>
      <c r="AJ236" s="28">
        <f t="shared" si="87"/>
        <v>2308.3760000000002</v>
      </c>
      <c r="AK236" s="30">
        <f>'Report Inputs'!$F$2</f>
        <v>55.9</v>
      </c>
      <c r="AL236" s="28">
        <f>'Report Inputs'!$E$2</f>
        <v>1080</v>
      </c>
      <c r="AM236" s="28">
        <f t="shared" si="97"/>
        <v>45.613</v>
      </c>
      <c r="AN236" s="26" t="s">
        <v>744</v>
      </c>
      <c r="AS236" s="26" t="s">
        <v>76</v>
      </c>
      <c r="AT236" s="26" t="s">
        <v>77</v>
      </c>
      <c r="AU236" s="26" t="s">
        <v>78</v>
      </c>
      <c r="AV236" s="31">
        <f t="shared" ca="1" si="79"/>
        <v>42376.365370833337</v>
      </c>
    </row>
    <row r="237" spans="1:48">
      <c r="A237" s="26">
        <v>7</v>
      </c>
      <c r="B237" s="26">
        <f>MONTH('Report Inputs'!$B$2)</f>
        <v>11</v>
      </c>
      <c r="C237" s="26">
        <f>YEAR('Report Inputs'!$B$2)</f>
        <v>2015</v>
      </c>
      <c r="D237" s="26">
        <v>66571</v>
      </c>
      <c r="F237" s="26" t="s">
        <v>65</v>
      </c>
      <c r="G237" s="26" t="s">
        <v>66</v>
      </c>
      <c r="H237" s="26" t="s">
        <v>67</v>
      </c>
      <c r="I237" s="26" t="s">
        <v>68</v>
      </c>
      <c r="J237" s="26" t="s">
        <v>69</v>
      </c>
      <c r="K237" s="26">
        <v>713</v>
      </c>
      <c r="L237" s="26" t="s">
        <v>70</v>
      </c>
      <c r="M237" s="26">
        <v>713</v>
      </c>
      <c r="N237" s="26" t="s">
        <v>71</v>
      </c>
      <c r="O237" s="26" t="s">
        <v>72</v>
      </c>
      <c r="P237" s="26">
        <v>45</v>
      </c>
      <c r="Q237" s="27">
        <v>17696</v>
      </c>
      <c r="R237" s="26">
        <v>0</v>
      </c>
      <c r="S237" s="26" t="s">
        <v>775</v>
      </c>
      <c r="T237" s="26" t="s">
        <v>80</v>
      </c>
      <c r="U237" s="26" t="str">
        <f t="shared" si="82"/>
        <v>PR</v>
      </c>
      <c r="V237" s="26">
        <f t="shared" si="83"/>
        <v>30</v>
      </c>
      <c r="W237" s="26" t="s">
        <v>73</v>
      </c>
      <c r="X237" s="26">
        <v>9</v>
      </c>
      <c r="Y237" s="26" t="s">
        <v>74</v>
      </c>
      <c r="Z237" s="26" t="s">
        <v>75</v>
      </c>
      <c r="AA237" s="28">
        <f t="shared" si="91"/>
        <v>0.47899999999999998</v>
      </c>
      <c r="AB237" s="28">
        <f t="shared" si="92"/>
        <v>9.8829999999999991</v>
      </c>
      <c r="AC237" s="28">
        <f t="shared" si="93"/>
        <v>9.8330000000000002</v>
      </c>
      <c r="AD237" s="28">
        <f t="shared" si="89"/>
        <v>1</v>
      </c>
      <c r="AE237" s="28">
        <f t="shared" si="94"/>
        <v>0.52900000000000003</v>
      </c>
      <c r="AF237" s="28">
        <f t="shared" si="95"/>
        <v>3666.86</v>
      </c>
      <c r="AG237" s="28">
        <f t="shared" si="85"/>
        <v>1.89</v>
      </c>
      <c r="AH237" s="28">
        <f t="shared" si="98"/>
        <v>361.91899999999998</v>
      </c>
      <c r="AI237" s="28">
        <f t="shared" si="96"/>
        <v>0</v>
      </c>
      <c r="AJ237" s="28">
        <f t="shared" si="87"/>
        <v>3303.0509999999999</v>
      </c>
      <c r="AK237" s="30">
        <f>'Report Inputs'!$F$2</f>
        <v>55.9</v>
      </c>
      <c r="AL237" s="28">
        <f>'Report Inputs'!$E$2</f>
        <v>1080</v>
      </c>
      <c r="AM237" s="28">
        <f t="shared" si="97"/>
        <v>65.269000000000005</v>
      </c>
      <c r="AN237" s="26" t="s">
        <v>744</v>
      </c>
      <c r="AS237" s="26" t="s">
        <v>76</v>
      </c>
      <c r="AT237" s="26" t="s">
        <v>77</v>
      </c>
      <c r="AU237" s="26" t="s">
        <v>78</v>
      </c>
      <c r="AV237" s="31">
        <f t="shared" ca="1" si="79"/>
        <v>42376.365370833337</v>
      </c>
    </row>
    <row r="238" spans="1:48">
      <c r="A238" s="26">
        <v>7</v>
      </c>
      <c r="B238" s="26">
        <f>MONTH('Report Inputs'!$B$2)</f>
        <v>11</v>
      </c>
      <c r="C238" s="26">
        <f>YEAR('Report Inputs'!$B$2)</f>
        <v>2015</v>
      </c>
      <c r="D238" s="26">
        <v>66571</v>
      </c>
      <c r="F238" s="26" t="s">
        <v>65</v>
      </c>
      <c r="G238" s="26" t="s">
        <v>66</v>
      </c>
      <c r="H238" s="26" t="s">
        <v>67</v>
      </c>
      <c r="I238" s="26" t="s">
        <v>68</v>
      </c>
      <c r="J238" s="26" t="s">
        <v>69</v>
      </c>
      <c r="K238" s="26">
        <v>713</v>
      </c>
      <c r="L238" s="26" t="s">
        <v>70</v>
      </c>
      <c r="M238" s="26">
        <v>713</v>
      </c>
      <c r="N238" s="26" t="s">
        <v>71</v>
      </c>
      <c r="O238" s="26" t="s">
        <v>72</v>
      </c>
      <c r="P238" s="26">
        <v>45</v>
      </c>
      <c r="Q238" s="27">
        <v>17764</v>
      </c>
      <c r="R238" s="26">
        <v>0</v>
      </c>
      <c r="S238" s="26" t="s">
        <v>641</v>
      </c>
      <c r="T238" s="26" t="s">
        <v>80</v>
      </c>
      <c r="U238" s="26" t="str">
        <f t="shared" si="82"/>
        <v>PR</v>
      </c>
      <c r="V238" s="26">
        <f t="shared" si="83"/>
        <v>30</v>
      </c>
      <c r="W238" s="26" t="s">
        <v>115</v>
      </c>
      <c r="X238" s="26">
        <v>3</v>
      </c>
      <c r="Y238" s="26" t="s">
        <v>194</v>
      </c>
      <c r="Z238" s="26" t="s">
        <v>75</v>
      </c>
      <c r="AA238" s="28">
        <f t="shared" si="91"/>
        <v>1.1970000000000001</v>
      </c>
      <c r="AB238" s="28">
        <f t="shared" si="92"/>
        <v>18.338000000000001</v>
      </c>
      <c r="AC238" s="28">
        <f t="shared" si="93"/>
        <v>18.373999999999999</v>
      </c>
      <c r="AD238" s="28">
        <f t="shared" si="89"/>
        <v>0</v>
      </c>
      <c r="AE238" s="28">
        <f t="shared" si="94"/>
        <v>1.161</v>
      </c>
      <c r="AF238" s="28">
        <f t="shared" si="95"/>
        <v>10162.36</v>
      </c>
      <c r="AG238" s="28">
        <f t="shared" si="85"/>
        <v>3.39</v>
      </c>
      <c r="AH238" s="28">
        <f t="shared" si="98"/>
        <v>643.74599999999998</v>
      </c>
      <c r="AI238" s="28">
        <f t="shared" si="96"/>
        <v>0</v>
      </c>
      <c r="AJ238" s="28">
        <f t="shared" si="87"/>
        <v>9515.2240000000002</v>
      </c>
      <c r="AK238" s="30">
        <f>'Report Inputs'!$F$2</f>
        <v>55.9</v>
      </c>
      <c r="AL238" s="28">
        <f>'Report Inputs'!$E$2</f>
        <v>1080</v>
      </c>
      <c r="AM238" s="28">
        <f t="shared" si="97"/>
        <v>44.506</v>
      </c>
      <c r="AN238" s="26" t="s">
        <v>744</v>
      </c>
      <c r="AS238" s="26" t="s">
        <v>76</v>
      </c>
      <c r="AT238" s="26" t="s">
        <v>77</v>
      </c>
      <c r="AU238" s="26" t="s">
        <v>78</v>
      </c>
      <c r="AV238" s="31">
        <f t="shared" ca="1" si="79"/>
        <v>42376.365370833337</v>
      </c>
    </row>
    <row r="239" spans="1:48">
      <c r="A239" s="26">
        <v>7</v>
      </c>
      <c r="B239" s="26">
        <f>MONTH('Report Inputs'!$B$2)</f>
        <v>11</v>
      </c>
      <c r="C239" s="26">
        <f>YEAR('Report Inputs'!$B$2)</f>
        <v>2015</v>
      </c>
      <c r="D239" s="26">
        <v>66571</v>
      </c>
      <c r="F239" s="26" t="s">
        <v>65</v>
      </c>
      <c r="G239" s="26" t="s">
        <v>66</v>
      </c>
      <c r="H239" s="26" t="s">
        <v>67</v>
      </c>
      <c r="I239" s="26" t="s">
        <v>68</v>
      </c>
      <c r="J239" s="26" t="s">
        <v>69</v>
      </c>
      <c r="K239" s="26">
        <v>713</v>
      </c>
      <c r="L239" s="26" t="s">
        <v>70</v>
      </c>
      <c r="M239" s="26">
        <v>713</v>
      </c>
      <c r="N239" s="26" t="s">
        <v>71</v>
      </c>
      <c r="O239" s="26" t="s">
        <v>72</v>
      </c>
      <c r="P239" s="26">
        <v>45</v>
      </c>
      <c r="Q239" s="27">
        <v>17765</v>
      </c>
      <c r="R239" s="26">
        <v>0</v>
      </c>
      <c r="S239" s="26" t="s">
        <v>639</v>
      </c>
      <c r="T239" s="26" t="s">
        <v>80</v>
      </c>
      <c r="U239" s="26" t="str">
        <f t="shared" si="82"/>
        <v>PR</v>
      </c>
      <c r="V239" s="26">
        <f t="shared" si="83"/>
        <v>30</v>
      </c>
      <c r="W239" s="26" t="s">
        <v>115</v>
      </c>
      <c r="X239" s="26">
        <v>3</v>
      </c>
      <c r="Y239" s="26" t="s">
        <v>194</v>
      </c>
      <c r="Z239" s="26" t="s">
        <v>75</v>
      </c>
      <c r="AA239" s="28">
        <f t="shared" si="91"/>
        <v>1.02</v>
      </c>
      <c r="AB239" s="28">
        <f t="shared" si="92"/>
        <v>15.818</v>
      </c>
      <c r="AC239" s="28">
        <f t="shared" si="93"/>
        <v>15.837999999999999</v>
      </c>
      <c r="AD239" s="28">
        <f t="shared" si="89"/>
        <v>0</v>
      </c>
      <c r="AE239" s="28">
        <f t="shared" si="94"/>
        <v>1</v>
      </c>
      <c r="AF239" s="28">
        <f t="shared" si="95"/>
        <v>8794.09</v>
      </c>
      <c r="AG239" s="28">
        <f t="shared" si="85"/>
        <v>2.92</v>
      </c>
      <c r="AH239" s="28">
        <f t="shared" si="98"/>
        <v>584.38699999999994</v>
      </c>
      <c r="AI239" s="28">
        <f t="shared" si="96"/>
        <v>0</v>
      </c>
      <c r="AJ239" s="28">
        <f t="shared" si="87"/>
        <v>8206.7829999999994</v>
      </c>
      <c r="AK239" s="30">
        <f>'Report Inputs'!$F$2</f>
        <v>55.9</v>
      </c>
      <c r="AL239" s="28">
        <f>'Report Inputs'!$E$2</f>
        <v>1080</v>
      </c>
      <c r="AM239" s="28">
        <f t="shared" si="97"/>
        <v>38.386000000000003</v>
      </c>
      <c r="AN239" s="26" t="s">
        <v>744</v>
      </c>
      <c r="AS239" s="26" t="s">
        <v>76</v>
      </c>
      <c r="AT239" s="26" t="s">
        <v>77</v>
      </c>
      <c r="AU239" s="26" t="s">
        <v>78</v>
      </c>
      <c r="AV239" s="31">
        <f t="shared" ca="1" si="79"/>
        <v>42376.365370833337</v>
      </c>
    </row>
    <row r="240" spans="1:48">
      <c r="A240" s="26">
        <v>7</v>
      </c>
      <c r="B240" s="26">
        <f>MONTH('Report Inputs'!$B$2)</f>
        <v>11</v>
      </c>
      <c r="C240" s="26">
        <f>YEAR('Report Inputs'!$B$2)</f>
        <v>2015</v>
      </c>
      <c r="D240" s="26">
        <v>66571</v>
      </c>
      <c r="F240" s="26" t="s">
        <v>65</v>
      </c>
      <c r="G240" s="26" t="s">
        <v>66</v>
      </c>
      <c r="H240" s="26" t="s">
        <v>67</v>
      </c>
      <c r="I240" s="26" t="s">
        <v>68</v>
      </c>
      <c r="J240" s="26" t="s">
        <v>69</v>
      </c>
      <c r="K240" s="26">
        <v>713</v>
      </c>
      <c r="L240" s="26" t="s">
        <v>70</v>
      </c>
      <c r="M240" s="26">
        <v>713</v>
      </c>
      <c r="N240" s="26" t="s">
        <v>71</v>
      </c>
      <c r="O240" s="26" t="s">
        <v>72</v>
      </c>
      <c r="P240" s="26">
        <v>45</v>
      </c>
      <c r="Q240" s="27">
        <v>17766</v>
      </c>
      <c r="R240" s="26">
        <v>0</v>
      </c>
      <c r="S240" s="26" t="s">
        <v>640</v>
      </c>
      <c r="T240" s="26" t="s">
        <v>80</v>
      </c>
      <c r="U240" s="26" t="str">
        <f t="shared" si="82"/>
        <v>PR</v>
      </c>
      <c r="V240" s="26">
        <f t="shared" si="83"/>
        <v>30</v>
      </c>
      <c r="W240" s="26" t="s">
        <v>115</v>
      </c>
      <c r="X240" s="26">
        <v>3</v>
      </c>
      <c r="Y240" s="26" t="s">
        <v>194</v>
      </c>
      <c r="Z240" s="26" t="s">
        <v>75</v>
      </c>
      <c r="AA240" s="28">
        <f t="shared" si="91"/>
        <v>0.80400000000000005</v>
      </c>
      <c r="AB240" s="28">
        <f t="shared" si="92"/>
        <v>12.291</v>
      </c>
      <c r="AC240" s="28">
        <f t="shared" si="93"/>
        <v>12.317</v>
      </c>
      <c r="AD240" s="28">
        <f t="shared" si="89"/>
        <v>0</v>
      </c>
      <c r="AE240" s="28">
        <f t="shared" si="94"/>
        <v>0.77800000000000002</v>
      </c>
      <c r="AF240" s="28">
        <f t="shared" si="95"/>
        <v>6880.94</v>
      </c>
      <c r="AG240" s="28">
        <f t="shared" si="85"/>
        <v>2.27</v>
      </c>
      <c r="AH240" s="28">
        <v>502</v>
      </c>
      <c r="AI240" s="28">
        <f t="shared" si="96"/>
        <v>0</v>
      </c>
      <c r="AJ240" s="28">
        <f t="shared" si="87"/>
        <v>6377.2820000000002</v>
      </c>
      <c r="AK240" s="30">
        <f>'Report Inputs'!$F$2</f>
        <v>55.9</v>
      </c>
      <c r="AL240" s="28">
        <f>'Report Inputs'!$E$2</f>
        <v>1080</v>
      </c>
      <c r="AM240" s="28">
        <f t="shared" si="97"/>
        <v>29.827999999999999</v>
      </c>
      <c r="AN240" s="26" t="s">
        <v>744</v>
      </c>
      <c r="AS240" s="26" t="s">
        <v>76</v>
      </c>
      <c r="AT240" s="26" t="s">
        <v>77</v>
      </c>
      <c r="AU240" s="26" t="s">
        <v>78</v>
      </c>
      <c r="AV240" s="31">
        <f t="shared" ca="1" si="79"/>
        <v>42376.365370833337</v>
      </c>
    </row>
    <row r="241" spans="1:48">
      <c r="A241" s="26">
        <v>7</v>
      </c>
      <c r="B241" s="26">
        <f>MONTH('Report Inputs'!$B$2)</f>
        <v>11</v>
      </c>
      <c r="C241" s="26">
        <f>YEAR('Report Inputs'!$B$2)</f>
        <v>2015</v>
      </c>
      <c r="D241" s="26">
        <v>66571</v>
      </c>
      <c r="F241" s="26" t="s">
        <v>65</v>
      </c>
      <c r="G241" s="26" t="s">
        <v>66</v>
      </c>
      <c r="H241" s="26" t="s">
        <v>67</v>
      </c>
      <c r="I241" s="26" t="s">
        <v>68</v>
      </c>
      <c r="J241" s="26" t="s">
        <v>69</v>
      </c>
      <c r="K241" s="26">
        <v>713</v>
      </c>
      <c r="L241" s="26" t="s">
        <v>70</v>
      </c>
      <c r="M241" s="26">
        <v>713</v>
      </c>
      <c r="N241" s="26" t="s">
        <v>71</v>
      </c>
      <c r="O241" s="26" t="s">
        <v>72</v>
      </c>
      <c r="P241" s="26">
        <v>45</v>
      </c>
      <c r="Q241" s="27">
        <v>17767</v>
      </c>
      <c r="R241" s="26">
        <v>0</v>
      </c>
      <c r="S241" s="26" t="s">
        <v>642</v>
      </c>
      <c r="T241" s="26" t="s">
        <v>80</v>
      </c>
      <c r="U241" s="26" t="str">
        <f t="shared" si="82"/>
        <v>PR</v>
      </c>
      <c r="V241" s="26">
        <f t="shared" si="83"/>
        <v>30</v>
      </c>
      <c r="W241" s="26" t="s">
        <v>115</v>
      </c>
      <c r="X241" s="26">
        <v>3</v>
      </c>
      <c r="Y241" s="26" t="s">
        <v>194</v>
      </c>
      <c r="Z241" s="26" t="s">
        <v>75</v>
      </c>
      <c r="AA241" s="28">
        <f t="shared" si="91"/>
        <v>0.89500000000000002</v>
      </c>
      <c r="AB241" s="28">
        <f t="shared" si="92"/>
        <v>13.987</v>
      </c>
      <c r="AC241" s="28">
        <f t="shared" si="93"/>
        <v>13.997</v>
      </c>
      <c r="AD241" s="28">
        <f t="shared" si="89"/>
        <v>0</v>
      </c>
      <c r="AE241" s="28">
        <f t="shared" si="94"/>
        <v>0.88500000000000001</v>
      </c>
      <c r="AF241" s="28">
        <f t="shared" si="95"/>
        <v>7801.35</v>
      </c>
      <c r="AG241" s="28">
        <f t="shared" si="85"/>
        <v>2.58</v>
      </c>
      <c r="AH241" s="28">
        <f t="shared" si="98"/>
        <v>541.31899999999996</v>
      </c>
      <c r="AI241" s="28">
        <f t="shared" si="96"/>
        <v>0</v>
      </c>
      <c r="AJ241" s="28">
        <f t="shared" si="87"/>
        <v>7257.451</v>
      </c>
      <c r="AK241" s="30">
        <f>'Report Inputs'!$F$2</f>
        <v>55.9</v>
      </c>
      <c r="AL241" s="28">
        <f>'Report Inputs'!$E$2</f>
        <v>1080</v>
      </c>
      <c r="AM241" s="28">
        <f t="shared" si="97"/>
        <v>33.945999999999998</v>
      </c>
      <c r="AN241" s="26" t="s">
        <v>744</v>
      </c>
      <c r="AS241" s="26" t="s">
        <v>76</v>
      </c>
      <c r="AT241" s="26" t="s">
        <v>77</v>
      </c>
      <c r="AU241" s="26" t="s">
        <v>78</v>
      </c>
      <c r="AV241" s="31">
        <f t="shared" ca="1" si="79"/>
        <v>42376.365370833337</v>
      </c>
    </row>
    <row r="242" spans="1:48">
      <c r="A242" s="26">
        <v>7</v>
      </c>
      <c r="B242" s="26">
        <f>MONTH('Report Inputs'!$B$2)</f>
        <v>11</v>
      </c>
      <c r="C242" s="26">
        <f>YEAR('Report Inputs'!$B$2)</f>
        <v>2015</v>
      </c>
      <c r="D242" s="26">
        <v>66571</v>
      </c>
      <c r="F242" s="26" t="s">
        <v>65</v>
      </c>
      <c r="G242" s="26" t="s">
        <v>66</v>
      </c>
      <c r="H242" s="26" t="s">
        <v>67</v>
      </c>
      <c r="I242" s="26" t="s">
        <v>68</v>
      </c>
      <c r="J242" s="26" t="s">
        <v>69</v>
      </c>
      <c r="K242" s="26">
        <v>713</v>
      </c>
      <c r="L242" s="26" t="s">
        <v>70</v>
      </c>
      <c r="M242" s="26">
        <v>713</v>
      </c>
      <c r="N242" s="26" t="s">
        <v>71</v>
      </c>
      <c r="O242" s="26" t="s">
        <v>72</v>
      </c>
      <c r="P242" s="26">
        <v>45</v>
      </c>
      <c r="Q242" s="27">
        <v>17878</v>
      </c>
      <c r="R242" s="26">
        <v>0</v>
      </c>
      <c r="S242" s="26" t="s">
        <v>813</v>
      </c>
      <c r="T242" s="26" t="s">
        <v>80</v>
      </c>
      <c r="U242" s="26" t="str">
        <f t="shared" si="82"/>
        <v>PR</v>
      </c>
      <c r="V242" s="26">
        <f t="shared" si="83"/>
        <v>30</v>
      </c>
      <c r="W242" s="26" t="s">
        <v>115</v>
      </c>
      <c r="X242" s="26">
        <v>3</v>
      </c>
      <c r="Y242" s="26" t="s">
        <v>194</v>
      </c>
      <c r="Z242" s="26" t="s">
        <v>75</v>
      </c>
      <c r="AA242" s="28">
        <f t="shared" si="91"/>
        <v>0.77</v>
      </c>
      <c r="AB242" s="28">
        <f t="shared" si="92"/>
        <v>12.01</v>
      </c>
      <c r="AC242" s="28">
        <f t="shared" si="93"/>
        <v>12.021000000000001</v>
      </c>
      <c r="AD242" s="28">
        <f t="shared" si="89"/>
        <v>0</v>
      </c>
      <c r="AE242" s="28">
        <f t="shared" si="94"/>
        <v>0.75900000000000001</v>
      </c>
      <c r="AF242" s="28">
        <f t="shared" si="95"/>
        <v>6731.28</v>
      </c>
      <c r="AG242" s="28">
        <f t="shared" si="85"/>
        <v>2.2200000000000002</v>
      </c>
      <c r="AH242" s="28">
        <f t="shared" si="98"/>
        <v>497.66</v>
      </c>
      <c r="AI242" s="28">
        <f t="shared" si="96"/>
        <v>0</v>
      </c>
      <c r="AJ242" s="28">
        <f t="shared" si="87"/>
        <v>6231.4</v>
      </c>
      <c r="AK242" s="30">
        <f>'Report Inputs'!$F$2</f>
        <v>55.9</v>
      </c>
      <c r="AL242" s="28">
        <f>'Report Inputs'!$E$2</f>
        <v>1080</v>
      </c>
      <c r="AM242" s="28">
        <f t="shared" si="97"/>
        <v>1.845</v>
      </c>
      <c r="AN242" s="26" t="s">
        <v>744</v>
      </c>
      <c r="AS242" s="26" t="s">
        <v>76</v>
      </c>
      <c r="AT242" s="26" t="s">
        <v>77</v>
      </c>
      <c r="AU242" s="26" t="s">
        <v>78</v>
      </c>
      <c r="AV242" s="31">
        <f t="shared" ca="1" si="79"/>
        <v>42376.365370833337</v>
      </c>
    </row>
    <row r="243" spans="1:48">
      <c r="A243" s="26">
        <v>7</v>
      </c>
      <c r="B243" s="26">
        <f>MONTH('Report Inputs'!$B$2)</f>
        <v>11</v>
      </c>
      <c r="C243" s="26">
        <f>YEAR('Report Inputs'!$B$2)</f>
        <v>2015</v>
      </c>
      <c r="D243" s="26">
        <v>66571</v>
      </c>
      <c r="F243" s="26" t="s">
        <v>65</v>
      </c>
      <c r="G243" s="26" t="s">
        <v>66</v>
      </c>
      <c r="H243" s="26" t="s">
        <v>67</v>
      </c>
      <c r="I243" s="26" t="s">
        <v>68</v>
      </c>
      <c r="J243" s="26" t="s">
        <v>69</v>
      </c>
      <c r="K243" s="26">
        <v>713</v>
      </c>
      <c r="L243" s="26" t="s">
        <v>70</v>
      </c>
      <c r="M243" s="26">
        <v>713</v>
      </c>
      <c r="N243" s="26" t="s">
        <v>71</v>
      </c>
      <c r="O243" s="26" t="s">
        <v>72</v>
      </c>
      <c r="P243" s="26">
        <v>45</v>
      </c>
      <c r="Q243" s="27">
        <v>17879</v>
      </c>
      <c r="R243" s="26">
        <v>0</v>
      </c>
      <c r="S243" s="26" t="s">
        <v>635</v>
      </c>
      <c r="T243" s="26" t="s">
        <v>80</v>
      </c>
      <c r="U243" s="26" t="str">
        <f t="shared" si="82"/>
        <v>PR</v>
      </c>
      <c r="V243" s="26">
        <f t="shared" si="83"/>
        <v>30</v>
      </c>
      <c r="W243" s="26" t="s">
        <v>115</v>
      </c>
      <c r="X243" s="26">
        <v>3</v>
      </c>
      <c r="Y243" s="26" t="s">
        <v>194</v>
      </c>
      <c r="Z243" s="26" t="s">
        <v>75</v>
      </c>
      <c r="AA243" s="28">
        <f t="shared" si="91"/>
        <v>1.4790000000000001</v>
      </c>
      <c r="AB243" s="28">
        <f t="shared" si="92"/>
        <v>23.11</v>
      </c>
      <c r="AC243" s="28">
        <f t="shared" si="93"/>
        <v>23.129000000000001</v>
      </c>
      <c r="AD243" s="28">
        <f t="shared" si="89"/>
        <v>0</v>
      </c>
      <c r="AE243" s="28">
        <f t="shared" si="94"/>
        <v>1.46</v>
      </c>
      <c r="AF243" s="28">
        <f t="shared" si="95"/>
        <v>12754.61</v>
      </c>
      <c r="AG243" s="28">
        <f t="shared" si="85"/>
        <v>4.2699999999999996</v>
      </c>
      <c r="AH243" s="28">
        <f t="shared" si="98"/>
        <v>759.52599999999995</v>
      </c>
      <c r="AI243" s="28">
        <f t="shared" si="96"/>
        <v>0</v>
      </c>
      <c r="AJ243" s="28">
        <f t="shared" si="87"/>
        <v>11990.814</v>
      </c>
      <c r="AK243" s="30">
        <f>'Report Inputs'!$F$2</f>
        <v>55.9</v>
      </c>
      <c r="AL243" s="28">
        <f>'Report Inputs'!$E$2</f>
        <v>1080</v>
      </c>
      <c r="AM243" s="28">
        <f t="shared" si="97"/>
        <v>56.085000000000001</v>
      </c>
      <c r="AN243" s="26" t="s">
        <v>744</v>
      </c>
      <c r="AS243" s="26" t="s">
        <v>76</v>
      </c>
      <c r="AT243" s="26" t="s">
        <v>77</v>
      </c>
      <c r="AU243" s="26" t="s">
        <v>78</v>
      </c>
      <c r="AV243" s="31">
        <f t="shared" ca="1" si="79"/>
        <v>42376.365370833337</v>
      </c>
    </row>
    <row r="244" spans="1:48">
      <c r="A244" s="26">
        <v>7</v>
      </c>
      <c r="B244" s="26">
        <f>MONTH('Report Inputs'!$B$2)</f>
        <v>11</v>
      </c>
      <c r="C244" s="26">
        <f>YEAR('Report Inputs'!$B$2)</f>
        <v>2015</v>
      </c>
      <c r="D244" s="26">
        <v>66571</v>
      </c>
      <c r="F244" s="26" t="s">
        <v>65</v>
      </c>
      <c r="G244" s="26" t="s">
        <v>66</v>
      </c>
      <c r="H244" s="26" t="s">
        <v>67</v>
      </c>
      <c r="I244" s="26" t="s">
        <v>68</v>
      </c>
      <c r="J244" s="26" t="s">
        <v>69</v>
      </c>
      <c r="K244" s="26">
        <v>713</v>
      </c>
      <c r="L244" s="26" t="s">
        <v>70</v>
      </c>
      <c r="M244" s="26">
        <v>713</v>
      </c>
      <c r="N244" s="26" t="s">
        <v>71</v>
      </c>
      <c r="O244" s="26" t="s">
        <v>72</v>
      </c>
      <c r="P244" s="26">
        <v>45</v>
      </c>
      <c r="Q244" s="27">
        <v>17882</v>
      </c>
      <c r="R244" s="26">
        <v>0</v>
      </c>
      <c r="S244" s="26" t="s">
        <v>824</v>
      </c>
      <c r="T244" s="26" t="s">
        <v>80</v>
      </c>
      <c r="U244" s="26" t="str">
        <f t="shared" si="82"/>
        <v>PR</v>
      </c>
      <c r="V244" s="26">
        <f t="shared" si="83"/>
        <v>30</v>
      </c>
      <c r="W244" s="26" t="s">
        <v>854</v>
      </c>
      <c r="X244" s="26">
        <v>3</v>
      </c>
      <c r="Y244" s="26" t="s">
        <v>194</v>
      </c>
      <c r="Z244" s="26" t="s">
        <v>75</v>
      </c>
      <c r="AA244" s="28">
        <f t="shared" si="91"/>
        <v>0.80800000000000005</v>
      </c>
      <c r="AB244" s="28">
        <f t="shared" si="92"/>
        <v>12.603</v>
      </c>
      <c r="AC244" s="28">
        <f t="shared" si="93"/>
        <v>12.615</v>
      </c>
      <c r="AD244" s="28">
        <f t="shared" si="89"/>
        <v>0</v>
      </c>
      <c r="AE244" s="28">
        <f t="shared" si="94"/>
        <v>0.79600000000000004</v>
      </c>
      <c r="AF244" s="28">
        <f t="shared" si="95"/>
        <v>7050.2</v>
      </c>
      <c r="AG244" s="28">
        <f t="shared" si="85"/>
        <v>2.33</v>
      </c>
      <c r="AH244" s="28">
        <f t="shared" si="98"/>
        <v>508.73099999999999</v>
      </c>
      <c r="AI244" s="28">
        <f t="shared" si="96"/>
        <v>0</v>
      </c>
      <c r="AJ244" s="28">
        <f t="shared" si="87"/>
        <v>6539.1390000000001</v>
      </c>
      <c r="AK244" s="30">
        <f>'Report Inputs'!$F$2</f>
        <v>55.9</v>
      </c>
      <c r="AL244" s="28">
        <f>'Report Inputs'!$E$2</f>
        <v>1080</v>
      </c>
      <c r="AM244" s="28">
        <f t="shared" si="97"/>
        <v>30.585000000000001</v>
      </c>
      <c r="AN244" s="26" t="s">
        <v>744</v>
      </c>
      <c r="AS244" s="26" t="s">
        <v>76</v>
      </c>
      <c r="AT244" s="26" t="s">
        <v>77</v>
      </c>
      <c r="AU244" s="26" t="s">
        <v>78</v>
      </c>
      <c r="AV244" s="31">
        <f t="shared" ca="1" si="79"/>
        <v>42376.365370833337</v>
      </c>
    </row>
    <row r="245" spans="1:48">
      <c r="A245" s="26">
        <v>7</v>
      </c>
      <c r="B245" s="26">
        <f>MONTH('Report Inputs'!$B$2)</f>
        <v>11</v>
      </c>
      <c r="C245" s="26">
        <f>YEAR('Report Inputs'!$B$2)</f>
        <v>2015</v>
      </c>
      <c r="D245" s="26">
        <v>66571</v>
      </c>
      <c r="F245" s="26" t="s">
        <v>65</v>
      </c>
      <c r="G245" s="26" t="s">
        <v>66</v>
      </c>
      <c r="H245" s="26" t="s">
        <v>67</v>
      </c>
      <c r="I245" s="26" t="s">
        <v>68</v>
      </c>
      <c r="J245" s="26" t="s">
        <v>69</v>
      </c>
      <c r="K245" s="26">
        <v>713</v>
      </c>
      <c r="L245" s="26" t="s">
        <v>70</v>
      </c>
      <c r="M245" s="26">
        <v>713</v>
      </c>
      <c r="N245" s="26" t="s">
        <v>71</v>
      </c>
      <c r="O245" s="26" t="s">
        <v>72</v>
      </c>
      <c r="P245" s="26">
        <v>45</v>
      </c>
      <c r="Q245" s="27">
        <v>17883</v>
      </c>
      <c r="R245" s="26">
        <v>0</v>
      </c>
      <c r="S245" s="26" t="s">
        <v>800</v>
      </c>
      <c r="T245" s="26" t="s">
        <v>80</v>
      </c>
      <c r="U245" s="26" t="str">
        <f t="shared" si="82"/>
        <v>PR</v>
      </c>
      <c r="V245" s="26">
        <f t="shared" si="83"/>
        <v>30</v>
      </c>
      <c r="W245" s="26" t="s">
        <v>854</v>
      </c>
      <c r="X245" s="26">
        <v>3</v>
      </c>
      <c r="Y245" s="26" t="s">
        <v>194</v>
      </c>
      <c r="Z245" s="26" t="s">
        <v>75</v>
      </c>
      <c r="AA245" s="28">
        <f t="shared" si="91"/>
        <v>1.014</v>
      </c>
      <c r="AB245" s="28">
        <f t="shared" si="92"/>
        <v>15.741</v>
      </c>
      <c r="AC245" s="28">
        <f t="shared" si="93"/>
        <v>15.76</v>
      </c>
      <c r="AD245" s="28">
        <f t="shared" si="89"/>
        <v>0</v>
      </c>
      <c r="AE245" s="28">
        <f t="shared" si="94"/>
        <v>0.995</v>
      </c>
      <c r="AF245" s="28">
        <f t="shared" si="95"/>
        <v>8752.68</v>
      </c>
      <c r="AG245" s="28">
        <f t="shared" si="85"/>
        <v>2.91</v>
      </c>
      <c r="AH245" s="28">
        <f t="shared" si="98"/>
        <v>582.59</v>
      </c>
      <c r="AI245" s="28">
        <f t="shared" si="96"/>
        <v>0</v>
      </c>
      <c r="AJ245" s="28">
        <f t="shared" si="87"/>
        <v>8167.18</v>
      </c>
      <c r="AK245" s="30">
        <f>'Report Inputs'!$F$2</f>
        <v>55.9</v>
      </c>
      <c r="AL245" s="28">
        <f>'Report Inputs'!$E$2</f>
        <v>1080</v>
      </c>
      <c r="AM245" s="28">
        <f t="shared" si="97"/>
        <v>38.201000000000001</v>
      </c>
      <c r="AN245" s="26" t="s">
        <v>744</v>
      </c>
      <c r="AS245" s="26" t="s">
        <v>76</v>
      </c>
      <c r="AT245" s="26" t="s">
        <v>77</v>
      </c>
      <c r="AU245" s="26" t="s">
        <v>78</v>
      </c>
      <c r="AV245" s="31">
        <f t="shared" ca="1" si="79"/>
        <v>42376.365370833337</v>
      </c>
    </row>
    <row r="246" spans="1:48">
      <c r="A246" s="26">
        <v>7</v>
      </c>
      <c r="B246" s="26">
        <f>MONTH('Report Inputs'!$B$2)</f>
        <v>11</v>
      </c>
      <c r="C246" s="26">
        <f>YEAR('Report Inputs'!$B$2)</f>
        <v>2015</v>
      </c>
      <c r="D246" s="26">
        <v>66571</v>
      </c>
      <c r="F246" s="26" t="s">
        <v>65</v>
      </c>
      <c r="G246" s="26" t="s">
        <v>66</v>
      </c>
      <c r="H246" s="26" t="s">
        <v>67</v>
      </c>
      <c r="I246" s="26" t="s">
        <v>68</v>
      </c>
      <c r="J246" s="26" t="s">
        <v>69</v>
      </c>
      <c r="K246" s="26">
        <v>713</v>
      </c>
      <c r="L246" s="26" t="s">
        <v>70</v>
      </c>
      <c r="M246" s="26">
        <v>713</v>
      </c>
      <c r="N246" s="26" t="s">
        <v>71</v>
      </c>
      <c r="O246" s="26" t="s">
        <v>72</v>
      </c>
      <c r="P246" s="26">
        <v>45</v>
      </c>
      <c r="Q246" s="27">
        <v>17884</v>
      </c>
      <c r="R246" s="26">
        <v>0</v>
      </c>
      <c r="S246" s="26" t="s">
        <v>796</v>
      </c>
      <c r="T246" s="26" t="s">
        <v>80</v>
      </c>
      <c r="U246" s="26" t="str">
        <f t="shared" si="82"/>
        <v>PR</v>
      </c>
      <c r="V246" s="26">
        <f t="shared" si="83"/>
        <v>30</v>
      </c>
      <c r="W246" s="26" t="s">
        <v>854</v>
      </c>
      <c r="X246" s="26">
        <v>3</v>
      </c>
      <c r="Y246" s="26" t="s">
        <v>194</v>
      </c>
      <c r="Z246" s="26" t="s">
        <v>75</v>
      </c>
      <c r="AA246" s="28">
        <f t="shared" si="91"/>
        <v>0.97899999999999998</v>
      </c>
      <c r="AB246" s="28">
        <f t="shared" si="92"/>
        <v>15.257999999999999</v>
      </c>
      <c r="AC246" s="28">
        <f t="shared" si="93"/>
        <v>15.273</v>
      </c>
      <c r="AD246" s="28">
        <f t="shared" si="89"/>
        <v>0</v>
      </c>
      <c r="AE246" s="28">
        <f t="shared" si="94"/>
        <v>0.96399999999999997</v>
      </c>
      <c r="AF246" s="28">
        <f t="shared" si="95"/>
        <v>8490.19</v>
      </c>
      <c r="AG246" s="28">
        <f t="shared" si="85"/>
        <v>2.82</v>
      </c>
      <c r="AH246" s="28">
        <f t="shared" si="98"/>
        <v>571.20299999999997</v>
      </c>
      <c r="AI246" s="28">
        <f t="shared" si="96"/>
        <v>0</v>
      </c>
      <c r="AJ246" s="28">
        <f t="shared" si="87"/>
        <v>7916.1670000000004</v>
      </c>
      <c r="AK246" s="30">
        <f>'Report Inputs'!$F$2</f>
        <v>55.9</v>
      </c>
      <c r="AL246" s="28">
        <f>'Report Inputs'!$E$2</f>
        <v>1080</v>
      </c>
      <c r="AM246" s="28">
        <f t="shared" si="97"/>
        <v>37.027000000000001</v>
      </c>
      <c r="AN246" s="26" t="s">
        <v>744</v>
      </c>
      <c r="AS246" s="26" t="s">
        <v>76</v>
      </c>
      <c r="AT246" s="26" t="s">
        <v>77</v>
      </c>
      <c r="AU246" s="26" t="s">
        <v>78</v>
      </c>
      <c r="AV246" s="31">
        <f t="shared" ca="1" si="79"/>
        <v>42376.365370833337</v>
      </c>
    </row>
    <row r="247" spans="1:48">
      <c r="A247" s="26">
        <v>7</v>
      </c>
      <c r="B247" s="26">
        <f>MONTH('Report Inputs'!$B$2)</f>
        <v>11</v>
      </c>
      <c r="C247" s="26">
        <f>YEAR('Report Inputs'!$B$2)</f>
        <v>2015</v>
      </c>
      <c r="D247" s="26">
        <v>66571</v>
      </c>
      <c r="F247" s="26" t="s">
        <v>65</v>
      </c>
      <c r="G247" s="26" t="s">
        <v>66</v>
      </c>
      <c r="H247" s="26" t="s">
        <v>67</v>
      </c>
      <c r="I247" s="26" t="s">
        <v>68</v>
      </c>
      <c r="J247" s="26" t="s">
        <v>69</v>
      </c>
      <c r="K247" s="26">
        <v>713</v>
      </c>
      <c r="L247" s="26" t="s">
        <v>70</v>
      </c>
      <c r="M247" s="26">
        <v>713</v>
      </c>
      <c r="N247" s="26" t="s">
        <v>71</v>
      </c>
      <c r="O247" s="26" t="s">
        <v>72</v>
      </c>
      <c r="P247" s="26">
        <v>45</v>
      </c>
      <c r="Q247" s="27">
        <v>17885</v>
      </c>
      <c r="R247" s="26">
        <v>0</v>
      </c>
      <c r="S247" s="26" t="s">
        <v>816</v>
      </c>
      <c r="T247" s="26" t="s">
        <v>80</v>
      </c>
      <c r="U247" s="26" t="str">
        <f t="shared" si="82"/>
        <v>PR</v>
      </c>
      <c r="V247" s="26">
        <f t="shared" si="83"/>
        <v>30</v>
      </c>
      <c r="W247" s="26" t="s">
        <v>854</v>
      </c>
      <c r="X247" s="26">
        <v>3</v>
      </c>
      <c r="Y247" s="26" t="s">
        <v>194</v>
      </c>
      <c r="Z247" s="26" t="s">
        <v>75</v>
      </c>
      <c r="AA247" s="28">
        <f t="shared" si="91"/>
        <v>0.79</v>
      </c>
      <c r="AB247" s="28">
        <f t="shared" si="92"/>
        <v>12.324999999999999</v>
      </c>
      <c r="AC247" s="28">
        <f t="shared" si="93"/>
        <v>12.336</v>
      </c>
      <c r="AD247" s="28">
        <f t="shared" si="89"/>
        <v>0</v>
      </c>
      <c r="AE247" s="28">
        <f t="shared" si="94"/>
        <v>0.77900000000000003</v>
      </c>
      <c r="AF247" s="28">
        <f t="shared" si="95"/>
        <v>6899.25</v>
      </c>
      <c r="AG247" s="28">
        <f t="shared" si="85"/>
        <v>2.2799999999999998</v>
      </c>
      <c r="AH247" s="28">
        <f t="shared" si="98"/>
        <v>502.18200000000002</v>
      </c>
      <c r="AI247" s="28">
        <f t="shared" si="96"/>
        <v>0</v>
      </c>
      <c r="AJ247" s="28">
        <f t="shared" si="87"/>
        <v>6394.7879999999996</v>
      </c>
      <c r="AK247" s="30">
        <f>'Report Inputs'!$F$2</f>
        <v>55.9</v>
      </c>
      <c r="AL247" s="28">
        <f>'Report Inputs'!$E$2</f>
        <v>1080</v>
      </c>
      <c r="AM247" s="28">
        <f t="shared" si="97"/>
        <v>29.91</v>
      </c>
      <c r="AN247" s="26" t="s">
        <v>744</v>
      </c>
      <c r="AS247" s="26" t="s">
        <v>76</v>
      </c>
      <c r="AT247" s="26" t="s">
        <v>77</v>
      </c>
      <c r="AU247" s="26" t="s">
        <v>78</v>
      </c>
      <c r="AV247" s="31">
        <f t="shared" ca="1" si="79"/>
        <v>42376.365370833337</v>
      </c>
    </row>
    <row r="248" spans="1:48">
      <c r="A248" s="26">
        <v>7</v>
      </c>
      <c r="B248" s="26">
        <f>MONTH('Report Inputs'!$B$2)</f>
        <v>11</v>
      </c>
      <c r="C248" s="26">
        <f>YEAR('Report Inputs'!$B$2)</f>
        <v>2015</v>
      </c>
      <c r="D248" s="26">
        <v>66571</v>
      </c>
      <c r="F248" s="26" t="s">
        <v>65</v>
      </c>
      <c r="G248" s="26" t="s">
        <v>66</v>
      </c>
      <c r="H248" s="26" t="s">
        <v>67</v>
      </c>
      <c r="I248" s="26" t="s">
        <v>68</v>
      </c>
      <c r="J248" s="26" t="s">
        <v>69</v>
      </c>
      <c r="K248" s="26">
        <v>713</v>
      </c>
      <c r="L248" s="26" t="s">
        <v>70</v>
      </c>
      <c r="M248" s="26">
        <v>713</v>
      </c>
      <c r="N248" s="26" t="s">
        <v>71</v>
      </c>
      <c r="O248" s="26" t="s">
        <v>72</v>
      </c>
      <c r="P248" s="26">
        <v>45</v>
      </c>
      <c r="Q248" s="27">
        <v>17886</v>
      </c>
      <c r="R248" s="26">
        <v>0</v>
      </c>
      <c r="S248" s="26" t="s">
        <v>823</v>
      </c>
      <c r="T248" s="26" t="s">
        <v>80</v>
      </c>
      <c r="U248" s="26" t="str">
        <f t="shared" si="82"/>
        <v>PR</v>
      </c>
      <c r="V248" s="26">
        <f t="shared" si="83"/>
        <v>30</v>
      </c>
      <c r="W248" s="26" t="s">
        <v>854</v>
      </c>
      <c r="X248" s="26">
        <v>3</v>
      </c>
      <c r="Y248" s="26" t="s">
        <v>194</v>
      </c>
      <c r="Z248" s="26" t="s">
        <v>75</v>
      </c>
      <c r="AA248" s="28">
        <f t="shared" si="91"/>
        <v>0.73299999999999998</v>
      </c>
      <c r="AB248" s="28">
        <f t="shared" si="92"/>
        <v>11.211</v>
      </c>
      <c r="AC248" s="28">
        <f t="shared" si="93"/>
        <v>11.234</v>
      </c>
      <c r="AD248" s="28">
        <f t="shared" si="89"/>
        <v>0</v>
      </c>
      <c r="AE248" s="28">
        <f t="shared" si="94"/>
        <v>0.71</v>
      </c>
      <c r="AF248" s="28">
        <f t="shared" si="95"/>
        <v>6295.04</v>
      </c>
      <c r="AG248" s="28">
        <f t="shared" si="85"/>
        <v>2.0699999999999998</v>
      </c>
      <c r="AH248" s="28">
        <f t="shared" si="98"/>
        <v>475.97</v>
      </c>
      <c r="AI248" s="28">
        <f t="shared" si="96"/>
        <v>0</v>
      </c>
      <c r="AJ248" s="28">
        <f t="shared" si="87"/>
        <v>5817</v>
      </c>
      <c r="AK248" s="30">
        <f>'Report Inputs'!$F$2</f>
        <v>55.9</v>
      </c>
      <c r="AL248" s="28">
        <f>'Report Inputs'!$E$2</f>
        <v>1080</v>
      </c>
      <c r="AM248" s="28">
        <f t="shared" si="97"/>
        <v>27.207999999999998</v>
      </c>
      <c r="AN248" s="26" t="s">
        <v>744</v>
      </c>
      <c r="AS248" s="26" t="s">
        <v>76</v>
      </c>
      <c r="AT248" s="26" t="s">
        <v>77</v>
      </c>
      <c r="AU248" s="26" t="s">
        <v>78</v>
      </c>
      <c r="AV248" s="31">
        <f t="shared" ca="1" si="79"/>
        <v>42376.365370833337</v>
      </c>
    </row>
    <row r="249" spans="1:48">
      <c r="A249" s="26">
        <v>7</v>
      </c>
      <c r="B249" s="26">
        <f>MONTH('Report Inputs'!$B$2)</f>
        <v>11</v>
      </c>
      <c r="C249" s="26">
        <f>YEAR('Report Inputs'!$B$2)</f>
        <v>2015</v>
      </c>
      <c r="D249" s="26">
        <v>66571</v>
      </c>
      <c r="F249" s="26" t="s">
        <v>65</v>
      </c>
      <c r="G249" s="26" t="s">
        <v>66</v>
      </c>
      <c r="H249" s="26" t="s">
        <v>67</v>
      </c>
      <c r="I249" s="26" t="s">
        <v>68</v>
      </c>
      <c r="J249" s="26" t="s">
        <v>69</v>
      </c>
      <c r="K249" s="26">
        <v>713</v>
      </c>
      <c r="L249" s="26" t="s">
        <v>70</v>
      </c>
      <c r="M249" s="26">
        <v>713</v>
      </c>
      <c r="N249" s="26" t="s">
        <v>71</v>
      </c>
      <c r="O249" s="26" t="s">
        <v>72</v>
      </c>
      <c r="P249" s="26">
        <v>45</v>
      </c>
      <c r="Q249" s="27">
        <v>17887</v>
      </c>
      <c r="R249" s="26">
        <v>0</v>
      </c>
      <c r="S249" s="26" t="s">
        <v>815</v>
      </c>
      <c r="T249" s="26" t="s">
        <v>80</v>
      </c>
      <c r="U249" s="26" t="str">
        <f t="shared" si="82"/>
        <v>PR</v>
      </c>
      <c r="V249" s="26">
        <f t="shared" si="83"/>
        <v>30</v>
      </c>
      <c r="W249" s="26" t="s">
        <v>854</v>
      </c>
      <c r="X249" s="26">
        <v>3</v>
      </c>
      <c r="Y249" s="26" t="s">
        <v>194</v>
      </c>
      <c r="Z249" s="26" t="s">
        <v>75</v>
      </c>
      <c r="AA249" s="28">
        <f t="shared" si="91"/>
        <v>0.45700000000000002</v>
      </c>
      <c r="AB249" s="28">
        <f t="shared" si="92"/>
        <v>7.2590000000000003</v>
      </c>
      <c r="AC249" s="28">
        <f t="shared" si="93"/>
        <v>7.258</v>
      </c>
      <c r="AD249" s="28">
        <f t="shared" si="89"/>
        <v>0</v>
      </c>
      <c r="AE249" s="28">
        <f t="shared" si="94"/>
        <v>0.45800000000000002</v>
      </c>
      <c r="AF249" s="28">
        <f t="shared" si="95"/>
        <v>4150.91</v>
      </c>
      <c r="AG249" s="28">
        <f t="shared" si="85"/>
        <v>1.34</v>
      </c>
      <c r="AH249" s="28">
        <f t="shared" si="98"/>
        <v>382.95</v>
      </c>
      <c r="AI249" s="28">
        <f t="shared" si="96"/>
        <v>0</v>
      </c>
      <c r="AJ249" s="28">
        <f t="shared" si="87"/>
        <v>3766.62</v>
      </c>
      <c r="AK249" s="30">
        <f>'Report Inputs'!$F$2</f>
        <v>55.9</v>
      </c>
      <c r="AL249" s="28">
        <f>'Report Inputs'!$E$2</f>
        <v>1080</v>
      </c>
      <c r="AM249" s="28">
        <f t="shared" si="97"/>
        <v>17.617999999999999</v>
      </c>
      <c r="AN249" s="26" t="s">
        <v>744</v>
      </c>
      <c r="AS249" s="26" t="s">
        <v>76</v>
      </c>
      <c r="AT249" s="26" t="s">
        <v>77</v>
      </c>
      <c r="AU249" s="26" t="s">
        <v>78</v>
      </c>
      <c r="AV249" s="31">
        <f t="shared" ca="1" si="79"/>
        <v>42376.365370833337</v>
      </c>
    </row>
    <row r="250" spans="1:48">
      <c r="A250" s="26">
        <v>7</v>
      </c>
      <c r="B250" s="26">
        <f>MONTH('Report Inputs'!$B$2)</f>
        <v>11</v>
      </c>
      <c r="C250" s="26">
        <f>YEAR('Report Inputs'!$B$2)</f>
        <v>2015</v>
      </c>
      <c r="D250" s="26">
        <v>66571</v>
      </c>
      <c r="F250" s="26" t="s">
        <v>65</v>
      </c>
      <c r="G250" s="26" t="s">
        <v>66</v>
      </c>
      <c r="H250" s="26" t="s">
        <v>67</v>
      </c>
      <c r="I250" s="26" t="s">
        <v>68</v>
      </c>
      <c r="J250" s="26" t="s">
        <v>69</v>
      </c>
      <c r="K250" s="26">
        <v>713</v>
      </c>
      <c r="L250" s="26" t="s">
        <v>70</v>
      </c>
      <c r="M250" s="26">
        <v>713</v>
      </c>
      <c r="N250" s="26" t="s">
        <v>71</v>
      </c>
      <c r="O250" s="26" t="s">
        <v>72</v>
      </c>
      <c r="P250" s="26">
        <v>45</v>
      </c>
      <c r="Q250" s="27">
        <v>17888</v>
      </c>
      <c r="R250" s="26">
        <v>0</v>
      </c>
      <c r="S250" s="26" t="s">
        <v>814</v>
      </c>
      <c r="T250" s="26" t="s">
        <v>80</v>
      </c>
      <c r="U250" s="26" t="str">
        <f t="shared" si="82"/>
        <v>PR</v>
      </c>
      <c r="V250" s="26">
        <f t="shared" si="83"/>
        <v>30</v>
      </c>
      <c r="W250" s="26" t="s">
        <v>854</v>
      </c>
      <c r="X250" s="26">
        <v>3</v>
      </c>
      <c r="Y250" s="26" t="s">
        <v>194</v>
      </c>
      <c r="Z250" s="26" t="s">
        <v>75</v>
      </c>
      <c r="AA250" s="28">
        <f t="shared" si="91"/>
        <v>0.47599999999999998</v>
      </c>
      <c r="AB250" s="28">
        <f t="shared" si="92"/>
        <v>7.5209999999999999</v>
      </c>
      <c r="AC250" s="28">
        <f t="shared" si="93"/>
        <v>7.5229999999999997</v>
      </c>
      <c r="AD250" s="28">
        <f t="shared" si="89"/>
        <v>0</v>
      </c>
      <c r="AE250" s="28">
        <f t="shared" si="94"/>
        <v>0.47399999999999998</v>
      </c>
      <c r="AF250" s="28">
        <f t="shared" si="95"/>
        <v>4292.96</v>
      </c>
      <c r="AG250" s="28">
        <v>2</v>
      </c>
      <c r="AH250" s="28">
        <f t="shared" si="98"/>
        <v>389.113</v>
      </c>
      <c r="AI250" s="28">
        <f t="shared" si="96"/>
        <v>0</v>
      </c>
      <c r="AJ250" s="28">
        <f t="shared" si="87"/>
        <v>3902.4569999999999</v>
      </c>
      <c r="AK250" s="30">
        <f>'Report Inputs'!$F$2</f>
        <v>55.9</v>
      </c>
      <c r="AL250" s="28">
        <f>'Report Inputs'!$E$2</f>
        <v>1080</v>
      </c>
      <c r="AM250" s="28">
        <f t="shared" si="97"/>
        <v>18.251999999999999</v>
      </c>
      <c r="AN250" s="26" t="s">
        <v>744</v>
      </c>
      <c r="AS250" s="26" t="s">
        <v>76</v>
      </c>
      <c r="AT250" s="26" t="s">
        <v>77</v>
      </c>
      <c r="AU250" s="26" t="s">
        <v>78</v>
      </c>
      <c r="AV250" s="31">
        <f t="shared" ca="1" si="79"/>
        <v>42376.365370833337</v>
      </c>
    </row>
    <row r="251" spans="1:48">
      <c r="A251" s="26">
        <v>7</v>
      </c>
      <c r="B251" s="26">
        <f>MONTH('Report Inputs'!$B$2)</f>
        <v>11</v>
      </c>
      <c r="C251" s="26">
        <f>YEAR('Report Inputs'!$B$2)</f>
        <v>2015</v>
      </c>
      <c r="D251" s="26">
        <v>66571</v>
      </c>
      <c r="F251" s="26" t="s">
        <v>65</v>
      </c>
      <c r="G251" s="26" t="s">
        <v>66</v>
      </c>
      <c r="H251" s="26" t="s">
        <v>67</v>
      </c>
      <c r="I251" s="26" t="s">
        <v>68</v>
      </c>
      <c r="J251" s="26" t="s">
        <v>69</v>
      </c>
      <c r="K251" s="26">
        <v>713</v>
      </c>
      <c r="L251" s="26" t="s">
        <v>70</v>
      </c>
      <c r="M251" s="26">
        <v>713</v>
      </c>
      <c r="N251" s="26" t="s">
        <v>71</v>
      </c>
      <c r="O251" s="26" t="s">
        <v>72</v>
      </c>
      <c r="P251" s="26">
        <v>45</v>
      </c>
      <c r="Q251" s="27">
        <v>17889</v>
      </c>
      <c r="R251" s="26">
        <v>0</v>
      </c>
      <c r="S251" s="26" t="s">
        <v>801</v>
      </c>
      <c r="T251" s="26" t="s">
        <v>80</v>
      </c>
      <c r="U251" s="26" t="str">
        <f t="shared" si="82"/>
        <v>PR</v>
      </c>
      <c r="V251" s="26">
        <f t="shared" si="83"/>
        <v>30</v>
      </c>
      <c r="W251" s="26" t="s">
        <v>854</v>
      </c>
      <c r="X251" s="26">
        <v>3</v>
      </c>
      <c r="Y251" s="26" t="s">
        <v>194</v>
      </c>
      <c r="Z251" s="26" t="s">
        <v>75</v>
      </c>
      <c r="AA251" s="28">
        <f t="shared" si="91"/>
        <v>0.97</v>
      </c>
      <c r="AB251" s="28">
        <f t="shared" si="92"/>
        <v>15.162000000000001</v>
      </c>
      <c r="AC251" s="28">
        <f t="shared" si="93"/>
        <v>15.175000000000001</v>
      </c>
      <c r="AD251" s="28">
        <f t="shared" si="89"/>
        <v>0</v>
      </c>
      <c r="AE251" s="28">
        <f t="shared" si="94"/>
        <v>0.95699999999999996</v>
      </c>
      <c r="AF251" s="28">
        <f t="shared" si="95"/>
        <v>8438.67</v>
      </c>
      <c r="AG251" s="28">
        <f t="shared" si="85"/>
        <v>2.8</v>
      </c>
      <c r="AH251" s="28">
        <f t="shared" si="98"/>
        <v>568.96799999999996</v>
      </c>
      <c r="AI251" s="28">
        <f t="shared" si="96"/>
        <v>0</v>
      </c>
      <c r="AJ251" s="28">
        <f t="shared" si="87"/>
        <v>7866.902</v>
      </c>
      <c r="AK251" s="30">
        <f>'Report Inputs'!$F$2</f>
        <v>55.9</v>
      </c>
      <c r="AL251" s="28">
        <f>'Report Inputs'!$E$2</f>
        <v>1080</v>
      </c>
      <c r="AM251" s="28">
        <f t="shared" si="97"/>
        <v>36.795999999999999</v>
      </c>
      <c r="AN251" s="26" t="s">
        <v>744</v>
      </c>
      <c r="AS251" s="26" t="s">
        <v>76</v>
      </c>
      <c r="AT251" s="26" t="s">
        <v>77</v>
      </c>
      <c r="AU251" s="26" t="s">
        <v>78</v>
      </c>
      <c r="AV251" s="31">
        <f t="shared" ca="1" si="79"/>
        <v>42376.365370833337</v>
      </c>
    </row>
    <row r="252" spans="1:48">
      <c r="A252" s="26">
        <v>7</v>
      </c>
      <c r="B252" s="26">
        <f>MONTH('Report Inputs'!$B$2)</f>
        <v>11</v>
      </c>
      <c r="C252" s="26">
        <f>YEAR('Report Inputs'!$B$2)</f>
        <v>2015</v>
      </c>
      <c r="D252" s="26">
        <v>66571</v>
      </c>
      <c r="F252" s="26" t="s">
        <v>65</v>
      </c>
      <c r="G252" s="26" t="s">
        <v>66</v>
      </c>
      <c r="H252" s="26" t="s">
        <v>67</v>
      </c>
      <c r="I252" s="26" t="s">
        <v>68</v>
      </c>
      <c r="J252" s="26" t="s">
        <v>69</v>
      </c>
      <c r="K252" s="26">
        <v>713</v>
      </c>
      <c r="L252" s="26" t="s">
        <v>70</v>
      </c>
      <c r="M252" s="26">
        <v>713</v>
      </c>
      <c r="N252" s="26" t="s">
        <v>71</v>
      </c>
      <c r="O252" s="26" t="s">
        <v>72</v>
      </c>
      <c r="P252" s="26">
        <v>45</v>
      </c>
      <c r="Q252" s="27">
        <v>17890</v>
      </c>
      <c r="R252" s="26">
        <v>0</v>
      </c>
      <c r="S252" s="26" t="s">
        <v>798</v>
      </c>
      <c r="T252" s="26" t="s">
        <v>80</v>
      </c>
      <c r="U252" s="26" t="str">
        <f t="shared" si="82"/>
        <v>PR</v>
      </c>
      <c r="V252" s="26">
        <f t="shared" si="83"/>
        <v>30</v>
      </c>
      <c r="W252" s="26" t="s">
        <v>854</v>
      </c>
      <c r="X252" s="26">
        <v>3</v>
      </c>
      <c r="Y252" s="26" t="s">
        <v>194</v>
      </c>
      <c r="Z252" s="26" t="s">
        <v>75</v>
      </c>
      <c r="AA252" s="28">
        <f t="shared" si="91"/>
        <v>1.42</v>
      </c>
      <c r="AB252" s="28">
        <f t="shared" si="92"/>
        <v>22.097999999999999</v>
      </c>
      <c r="AC252" s="28">
        <f t="shared" si="93"/>
        <v>22.120999999999999</v>
      </c>
      <c r="AD252" s="28">
        <f t="shared" si="89"/>
        <v>0</v>
      </c>
      <c r="AE252" s="28">
        <f t="shared" si="94"/>
        <v>1.397</v>
      </c>
      <c r="AF252" s="28">
        <f t="shared" si="95"/>
        <v>12202.15</v>
      </c>
      <c r="AG252" s="28">
        <f t="shared" si="85"/>
        <v>4.08</v>
      </c>
      <c r="AH252" s="28">
        <f t="shared" si="98"/>
        <v>732.24</v>
      </c>
      <c r="AI252" s="28">
        <f t="shared" si="96"/>
        <v>0</v>
      </c>
      <c r="AJ252" s="28">
        <f t="shared" si="87"/>
        <v>11465.83</v>
      </c>
      <c r="AK252" s="30">
        <f>'Report Inputs'!$F$2</f>
        <v>55.9</v>
      </c>
      <c r="AL252" s="28">
        <f>'Report Inputs'!$E$2</f>
        <v>1080</v>
      </c>
      <c r="AM252" s="28">
        <f t="shared" si="97"/>
        <v>53.63</v>
      </c>
      <c r="AN252" s="26" t="s">
        <v>744</v>
      </c>
      <c r="AS252" s="26" t="s">
        <v>76</v>
      </c>
      <c r="AT252" s="26" t="s">
        <v>77</v>
      </c>
      <c r="AU252" s="26" t="s">
        <v>78</v>
      </c>
      <c r="AV252" s="31">
        <f t="shared" ca="1" si="79"/>
        <v>42376.365370833337</v>
      </c>
    </row>
    <row r="253" spans="1:48">
      <c r="A253" s="26">
        <v>7</v>
      </c>
      <c r="B253" s="26">
        <f>MONTH('Report Inputs'!$B$2)</f>
        <v>11</v>
      </c>
      <c r="C253" s="26">
        <f>YEAR('Report Inputs'!$B$2)</f>
        <v>2015</v>
      </c>
      <c r="D253" s="26">
        <v>66571</v>
      </c>
      <c r="F253" s="26" t="s">
        <v>65</v>
      </c>
      <c r="G253" s="26" t="s">
        <v>66</v>
      </c>
      <c r="H253" s="26" t="s">
        <v>67</v>
      </c>
      <c r="I253" s="26" t="s">
        <v>68</v>
      </c>
      <c r="J253" s="26" t="s">
        <v>69</v>
      </c>
      <c r="K253" s="26">
        <v>713</v>
      </c>
      <c r="L253" s="26" t="s">
        <v>70</v>
      </c>
      <c r="M253" s="26">
        <v>713</v>
      </c>
      <c r="N253" s="26" t="s">
        <v>71</v>
      </c>
      <c r="O253" s="26" t="s">
        <v>72</v>
      </c>
      <c r="P253" s="26">
        <v>45</v>
      </c>
      <c r="Q253" s="27">
        <v>17891</v>
      </c>
      <c r="R253" s="26">
        <v>0</v>
      </c>
      <c r="S253" s="26" t="s">
        <v>799</v>
      </c>
      <c r="T253" s="26" t="s">
        <v>80</v>
      </c>
      <c r="U253" s="26" t="str">
        <f t="shared" si="82"/>
        <v>PR</v>
      </c>
      <c r="V253" s="26">
        <f t="shared" si="83"/>
        <v>30</v>
      </c>
      <c r="W253" s="26" t="s">
        <v>854</v>
      </c>
      <c r="X253" s="26">
        <v>3</v>
      </c>
      <c r="Y253" s="26" t="s">
        <v>194</v>
      </c>
      <c r="Z253" s="26" t="s">
        <v>75</v>
      </c>
      <c r="AA253" s="28">
        <f t="shared" si="91"/>
        <v>1.2270000000000001</v>
      </c>
      <c r="AB253" s="28">
        <f t="shared" si="92"/>
        <v>18.968</v>
      </c>
      <c r="AC253" s="28">
        <f t="shared" si="93"/>
        <v>18.994</v>
      </c>
      <c r="AD253" s="28">
        <f t="shared" si="89"/>
        <v>0</v>
      </c>
      <c r="AE253" s="28">
        <f t="shared" si="94"/>
        <v>1.2010000000000001</v>
      </c>
      <c r="AF253" s="28">
        <f t="shared" si="95"/>
        <v>10508.31</v>
      </c>
      <c r="AG253" s="28">
        <v>3</v>
      </c>
      <c r="AH253" s="28">
        <f t="shared" si="98"/>
        <v>662.62</v>
      </c>
      <c r="AI253" s="28">
        <f t="shared" si="96"/>
        <v>0</v>
      </c>
      <c r="AJ253" s="28">
        <f t="shared" si="87"/>
        <v>9842.19</v>
      </c>
      <c r="AK253" s="30">
        <f>'Report Inputs'!$F$2</f>
        <v>55.9</v>
      </c>
      <c r="AL253" s="28">
        <f>'Report Inputs'!$E$2</f>
        <v>1080</v>
      </c>
      <c r="AM253" s="28">
        <f t="shared" si="97"/>
        <v>46.034999999999997</v>
      </c>
      <c r="AN253" s="26" t="s">
        <v>744</v>
      </c>
      <c r="AS253" s="26" t="s">
        <v>76</v>
      </c>
      <c r="AT253" s="26" t="s">
        <v>77</v>
      </c>
      <c r="AU253" s="26" t="s">
        <v>78</v>
      </c>
      <c r="AV253" s="31">
        <f t="shared" ca="1" si="79"/>
        <v>42376.365370833337</v>
      </c>
    </row>
    <row r="254" spans="1:48">
      <c r="A254" s="26">
        <v>7</v>
      </c>
      <c r="B254" s="26">
        <f>MONTH('Report Inputs'!$B$2)</f>
        <v>11</v>
      </c>
      <c r="C254" s="26">
        <f>YEAR('Report Inputs'!$B$2)</f>
        <v>2015</v>
      </c>
      <c r="D254" s="26">
        <v>66571</v>
      </c>
      <c r="F254" s="26" t="s">
        <v>65</v>
      </c>
      <c r="G254" s="26" t="s">
        <v>66</v>
      </c>
      <c r="H254" s="26" t="s">
        <v>67</v>
      </c>
      <c r="I254" s="26" t="s">
        <v>68</v>
      </c>
      <c r="J254" s="26" t="s">
        <v>69</v>
      </c>
      <c r="K254" s="26">
        <v>713</v>
      </c>
      <c r="L254" s="26" t="s">
        <v>70</v>
      </c>
      <c r="M254" s="26">
        <v>713</v>
      </c>
      <c r="N254" s="26" t="s">
        <v>71</v>
      </c>
      <c r="O254" s="26" t="s">
        <v>72</v>
      </c>
      <c r="P254" s="26">
        <v>45</v>
      </c>
      <c r="Q254" s="27">
        <v>18009</v>
      </c>
      <c r="R254" s="26">
        <v>0</v>
      </c>
      <c r="S254" s="26" t="s">
        <v>861</v>
      </c>
      <c r="T254" s="26" t="s">
        <v>80</v>
      </c>
      <c r="U254" s="26" t="str">
        <f t="shared" si="82"/>
        <v>PR</v>
      </c>
      <c r="V254" s="26">
        <f t="shared" si="83"/>
        <v>30</v>
      </c>
      <c r="W254" s="26" t="s">
        <v>124</v>
      </c>
      <c r="X254" s="26">
        <v>15</v>
      </c>
      <c r="Y254" s="26" t="s">
        <v>74</v>
      </c>
      <c r="Z254" s="26" t="s">
        <v>75</v>
      </c>
      <c r="AA254" s="28">
        <f t="shared" si="91"/>
        <v>0.78700000000000003</v>
      </c>
      <c r="AB254" s="28">
        <f t="shared" si="92"/>
        <v>15.423</v>
      </c>
      <c r="AC254" s="28">
        <f t="shared" si="93"/>
        <v>15.422000000000001</v>
      </c>
      <c r="AD254" s="28">
        <f t="shared" si="89"/>
        <v>0</v>
      </c>
      <c r="AE254" s="28">
        <f t="shared" si="94"/>
        <v>0.78800000000000003</v>
      </c>
      <c r="AF254" s="28">
        <f t="shared" si="95"/>
        <v>4959.1400000000003</v>
      </c>
      <c r="AG254" s="28">
        <f t="shared" si="85"/>
        <v>2.97</v>
      </c>
      <c r="AH254" s="28">
        <f t="shared" si="98"/>
        <v>417.95499999999998</v>
      </c>
      <c r="AI254" s="28">
        <f t="shared" si="96"/>
        <v>0</v>
      </c>
      <c r="AJ254" s="28">
        <f t="shared" si="87"/>
        <v>4538.2150000000001</v>
      </c>
      <c r="AK254" s="30">
        <f>'Report Inputs'!$F$2</f>
        <v>55.9</v>
      </c>
      <c r="AL254" s="28">
        <f>'Report Inputs'!$E$2</f>
        <v>1080</v>
      </c>
      <c r="AM254" s="28">
        <f t="shared" si="97"/>
        <v>143.73699999999999</v>
      </c>
      <c r="AN254" s="26" t="s">
        <v>744</v>
      </c>
      <c r="AS254" s="26" t="s">
        <v>76</v>
      </c>
      <c r="AT254" s="26" t="s">
        <v>77</v>
      </c>
      <c r="AU254" s="26" t="s">
        <v>78</v>
      </c>
      <c r="AV254" s="31">
        <f t="shared" ca="1" si="79"/>
        <v>42376.365370833337</v>
      </c>
    </row>
    <row r="255" spans="1:48">
      <c r="A255" s="26">
        <v>7</v>
      </c>
      <c r="B255" s="26">
        <f>MONTH('Report Inputs'!$B$2)</f>
        <v>11</v>
      </c>
      <c r="C255" s="26">
        <f>YEAR('Report Inputs'!$B$2)</f>
        <v>2015</v>
      </c>
      <c r="D255" s="26">
        <v>66571</v>
      </c>
      <c r="F255" s="26" t="s">
        <v>65</v>
      </c>
      <c r="G255" s="26" t="s">
        <v>66</v>
      </c>
      <c r="H255" s="26" t="s">
        <v>67</v>
      </c>
      <c r="I255" s="26" t="s">
        <v>68</v>
      </c>
      <c r="J255" s="26" t="s">
        <v>69</v>
      </c>
      <c r="K255" s="26">
        <v>713</v>
      </c>
      <c r="L255" s="26" t="s">
        <v>70</v>
      </c>
      <c r="M255" s="26">
        <v>713</v>
      </c>
      <c r="N255" s="26" t="s">
        <v>71</v>
      </c>
      <c r="O255" s="26" t="s">
        <v>72</v>
      </c>
      <c r="P255" s="26">
        <v>45</v>
      </c>
      <c r="Q255" s="27">
        <v>18010</v>
      </c>
      <c r="R255" s="26">
        <v>0</v>
      </c>
      <c r="S255" s="26" t="s">
        <v>867</v>
      </c>
      <c r="T255" s="26" t="s">
        <v>80</v>
      </c>
      <c r="U255" s="26" t="str">
        <f t="shared" si="82"/>
        <v>PR</v>
      </c>
      <c r="V255" s="26">
        <f t="shared" si="83"/>
        <v>30</v>
      </c>
      <c r="W255" s="26" t="s">
        <v>124</v>
      </c>
      <c r="X255" s="26">
        <v>15</v>
      </c>
      <c r="Y255" s="26" t="s">
        <v>74</v>
      </c>
      <c r="Z255" s="26" t="s">
        <v>75</v>
      </c>
      <c r="AA255" s="28">
        <f t="shared" si="91"/>
        <v>0.71599999999999997</v>
      </c>
      <c r="AB255" s="28">
        <f t="shared" si="92"/>
        <v>14.157</v>
      </c>
      <c r="AC255" s="28">
        <f t="shared" si="93"/>
        <v>14.15</v>
      </c>
      <c r="AD255" s="28">
        <f t="shared" si="89"/>
        <v>0</v>
      </c>
      <c r="AE255" s="28">
        <f t="shared" si="94"/>
        <v>0.72299999999999998</v>
      </c>
      <c r="AF255" s="28">
        <f t="shared" si="95"/>
        <v>4569.6000000000004</v>
      </c>
      <c r="AG255" s="28">
        <f t="shared" si="85"/>
        <v>2.73</v>
      </c>
      <c r="AH255" s="28">
        <f t="shared" si="98"/>
        <v>401.06</v>
      </c>
      <c r="AI255" s="28">
        <f t="shared" si="96"/>
        <v>0</v>
      </c>
      <c r="AJ255" s="28">
        <f t="shared" si="87"/>
        <v>4165.8100000000004</v>
      </c>
      <c r="AK255" s="30">
        <f>'Report Inputs'!$F$2</f>
        <v>55.9</v>
      </c>
      <c r="AL255" s="28">
        <f>'Report Inputs'!$E$2</f>
        <v>1080</v>
      </c>
      <c r="AM255" s="28">
        <f t="shared" si="97"/>
        <v>131.94200000000001</v>
      </c>
      <c r="AN255" s="26" t="s">
        <v>744</v>
      </c>
      <c r="AS255" s="26" t="s">
        <v>76</v>
      </c>
      <c r="AT255" s="26" t="s">
        <v>77</v>
      </c>
      <c r="AU255" s="26" t="s">
        <v>78</v>
      </c>
      <c r="AV255" s="31">
        <f t="shared" ref="AV255:AV318" ca="1" si="99">NOW()</f>
        <v>42376.365370833337</v>
      </c>
    </row>
    <row r="256" spans="1:48">
      <c r="A256" s="26">
        <v>7</v>
      </c>
      <c r="B256" s="26">
        <f>MONTH('Report Inputs'!$B$2)</f>
        <v>11</v>
      </c>
      <c r="C256" s="26">
        <f>YEAR('Report Inputs'!$B$2)</f>
        <v>2015</v>
      </c>
      <c r="D256" s="26">
        <v>66571</v>
      </c>
      <c r="F256" s="26" t="s">
        <v>65</v>
      </c>
      <c r="G256" s="26" t="s">
        <v>66</v>
      </c>
      <c r="H256" s="26" t="s">
        <v>67</v>
      </c>
      <c r="I256" s="26" t="s">
        <v>68</v>
      </c>
      <c r="J256" s="26" t="s">
        <v>69</v>
      </c>
      <c r="K256" s="26">
        <v>713</v>
      </c>
      <c r="L256" s="26" t="s">
        <v>70</v>
      </c>
      <c r="M256" s="26">
        <v>713</v>
      </c>
      <c r="N256" s="26" t="s">
        <v>71</v>
      </c>
      <c r="O256" s="26" t="s">
        <v>72</v>
      </c>
      <c r="P256" s="26">
        <v>45</v>
      </c>
      <c r="Q256" s="27">
        <v>18011</v>
      </c>
      <c r="R256" s="26">
        <v>0</v>
      </c>
      <c r="S256" s="26" t="s">
        <v>822</v>
      </c>
      <c r="T256" s="26" t="s">
        <v>80</v>
      </c>
      <c r="U256" s="26" t="str">
        <f t="shared" si="82"/>
        <v>PR</v>
      </c>
      <c r="V256" s="26">
        <f t="shared" si="83"/>
        <v>30</v>
      </c>
      <c r="W256" s="26" t="s">
        <v>124</v>
      </c>
      <c r="X256" s="26">
        <v>15</v>
      </c>
      <c r="Y256" s="26" t="s">
        <v>74</v>
      </c>
      <c r="Z256" s="26" t="s">
        <v>75</v>
      </c>
      <c r="AA256" s="28">
        <f t="shared" si="91"/>
        <v>0.35</v>
      </c>
      <c r="AB256" s="28">
        <f t="shared" si="92"/>
        <v>7.2149999999999999</v>
      </c>
      <c r="AC256" s="28">
        <f t="shared" si="93"/>
        <v>7.1970000000000001</v>
      </c>
      <c r="AD256" s="28">
        <f t="shared" si="89"/>
        <v>0</v>
      </c>
      <c r="AE256" s="28">
        <f t="shared" si="94"/>
        <v>0.36799999999999999</v>
      </c>
      <c r="AF256" s="28">
        <f t="shared" si="95"/>
        <v>2453.02</v>
      </c>
      <c r="AG256" s="28">
        <f t="shared" si="85"/>
        <v>1.39</v>
      </c>
      <c r="AH256" s="28">
        <v>329</v>
      </c>
      <c r="AI256" s="28">
        <f t="shared" si="96"/>
        <v>0</v>
      </c>
      <c r="AJ256" s="28">
        <f t="shared" si="87"/>
        <v>2123.1779999999999</v>
      </c>
      <c r="AK256" s="30">
        <f>'Report Inputs'!$F$2</f>
        <v>55.9</v>
      </c>
      <c r="AL256" s="28">
        <f>'Report Inputs'!$E$2</f>
        <v>1080</v>
      </c>
      <c r="AM256" s="28">
        <f t="shared" si="97"/>
        <v>67.247</v>
      </c>
      <c r="AN256" s="26" t="s">
        <v>744</v>
      </c>
      <c r="AS256" s="26" t="s">
        <v>76</v>
      </c>
      <c r="AT256" s="26" t="s">
        <v>77</v>
      </c>
      <c r="AU256" s="26" t="s">
        <v>78</v>
      </c>
      <c r="AV256" s="31">
        <f t="shared" ca="1" si="99"/>
        <v>42376.365370833337</v>
      </c>
    </row>
    <row r="257" spans="1:48">
      <c r="A257" s="26">
        <v>7</v>
      </c>
      <c r="B257" s="26">
        <f>MONTH('Report Inputs'!$B$2)</f>
        <v>11</v>
      </c>
      <c r="C257" s="26">
        <f>YEAR('Report Inputs'!$B$2)</f>
        <v>2015</v>
      </c>
      <c r="D257" s="26">
        <v>66571</v>
      </c>
      <c r="F257" s="26" t="s">
        <v>65</v>
      </c>
      <c r="G257" s="26" t="s">
        <v>66</v>
      </c>
      <c r="H257" s="26" t="s">
        <v>67</v>
      </c>
      <c r="I257" s="26" t="s">
        <v>68</v>
      </c>
      <c r="J257" s="26" t="s">
        <v>69</v>
      </c>
      <c r="K257" s="26">
        <v>713</v>
      </c>
      <c r="L257" s="26" t="s">
        <v>70</v>
      </c>
      <c r="M257" s="26">
        <v>713</v>
      </c>
      <c r="N257" s="26" t="s">
        <v>71</v>
      </c>
      <c r="O257" s="26" t="s">
        <v>72</v>
      </c>
      <c r="P257" s="26">
        <v>45</v>
      </c>
      <c r="Q257" s="27">
        <v>18022</v>
      </c>
      <c r="R257" s="26">
        <v>0</v>
      </c>
      <c r="S257" s="26" t="s">
        <v>825</v>
      </c>
      <c r="T257" s="26" t="s">
        <v>80</v>
      </c>
      <c r="U257" s="26" t="str">
        <f t="shared" si="82"/>
        <v>PR</v>
      </c>
      <c r="V257" s="26">
        <f t="shared" si="83"/>
        <v>30</v>
      </c>
      <c r="W257" s="26" t="s">
        <v>124</v>
      </c>
      <c r="X257" s="26">
        <v>15</v>
      </c>
      <c r="Y257" s="26" t="s">
        <v>74</v>
      </c>
      <c r="Z257" s="26" t="s">
        <v>75</v>
      </c>
      <c r="AA257" s="28">
        <f t="shared" si="91"/>
        <v>0.53800000000000003</v>
      </c>
      <c r="AB257" s="28">
        <f t="shared" si="92"/>
        <v>10.997</v>
      </c>
      <c r="AC257" s="28">
        <f t="shared" si="93"/>
        <v>10.974</v>
      </c>
      <c r="AD257" s="28">
        <f t="shared" si="89"/>
        <v>0</v>
      </c>
      <c r="AE257" s="28">
        <f t="shared" si="94"/>
        <v>0.56100000000000005</v>
      </c>
      <c r="AF257" s="28">
        <f t="shared" si="95"/>
        <v>3617.15</v>
      </c>
      <c r="AG257" s="28">
        <f t="shared" si="85"/>
        <v>2.12</v>
      </c>
      <c r="AH257" s="28">
        <f t="shared" si="98"/>
        <v>378.94200000000001</v>
      </c>
      <c r="AI257" s="28">
        <f t="shared" si="96"/>
        <v>0</v>
      </c>
      <c r="AJ257" s="28">
        <f t="shared" si="87"/>
        <v>3236.0880000000002</v>
      </c>
      <c r="AK257" s="30">
        <f>'Report Inputs'!$F$2</f>
        <v>55.9</v>
      </c>
      <c r="AL257" s="28">
        <f>'Report Inputs'!$E$2</f>
        <v>1080</v>
      </c>
      <c r="AM257" s="28">
        <f t="shared" si="97"/>
        <v>102.496</v>
      </c>
      <c r="AN257" s="26" t="s">
        <v>744</v>
      </c>
      <c r="AS257" s="26" t="s">
        <v>76</v>
      </c>
      <c r="AT257" s="26" t="s">
        <v>77</v>
      </c>
      <c r="AU257" s="26" t="s">
        <v>78</v>
      </c>
      <c r="AV257" s="31">
        <f t="shared" ca="1" si="99"/>
        <v>42376.365370833337</v>
      </c>
    </row>
    <row r="258" spans="1:48">
      <c r="A258" s="26">
        <v>7</v>
      </c>
      <c r="B258" s="26">
        <f>MONTH('Report Inputs'!$B$2)</f>
        <v>11</v>
      </c>
      <c r="C258" s="26">
        <f>YEAR('Report Inputs'!$B$2)</f>
        <v>2015</v>
      </c>
      <c r="D258" s="26">
        <v>66571</v>
      </c>
      <c r="F258" s="26" t="s">
        <v>65</v>
      </c>
      <c r="G258" s="26" t="s">
        <v>66</v>
      </c>
      <c r="H258" s="26" t="s">
        <v>67</v>
      </c>
      <c r="I258" s="26" t="s">
        <v>68</v>
      </c>
      <c r="J258" s="26" t="s">
        <v>69</v>
      </c>
      <c r="K258" s="26">
        <v>713</v>
      </c>
      <c r="L258" s="26" t="s">
        <v>70</v>
      </c>
      <c r="M258" s="26">
        <v>713</v>
      </c>
      <c r="N258" s="26" t="s">
        <v>71</v>
      </c>
      <c r="O258" s="26" t="s">
        <v>72</v>
      </c>
      <c r="P258" s="26">
        <v>45</v>
      </c>
      <c r="Q258" s="27">
        <v>18023</v>
      </c>
      <c r="R258" s="26">
        <v>0</v>
      </c>
      <c r="S258" s="26" t="s">
        <v>802</v>
      </c>
      <c r="T258" s="26" t="s">
        <v>80</v>
      </c>
      <c r="U258" s="26" t="str">
        <f t="shared" si="82"/>
        <v>PR</v>
      </c>
      <c r="V258" s="26">
        <f t="shared" ref="V258:V321" si="100">IF(ISNA(VLOOKUP($Q258,data,4,FALSE)),0,VLOOKUP($Q258,data,4,FALSE))</f>
        <v>30</v>
      </c>
      <c r="W258" s="26" t="s">
        <v>124</v>
      </c>
      <c r="X258" s="26">
        <v>15</v>
      </c>
      <c r="Y258" s="26" t="s">
        <v>74</v>
      </c>
      <c r="Z258" s="26" t="s">
        <v>75</v>
      </c>
      <c r="AA258" s="28">
        <f t="shared" si="91"/>
        <v>0.72499999999999998</v>
      </c>
      <c r="AB258" s="28">
        <f t="shared" si="92"/>
        <v>14.423</v>
      </c>
      <c r="AC258" s="28">
        <f t="shared" si="93"/>
        <v>14.411</v>
      </c>
      <c r="AD258" s="28">
        <f t="shared" si="89"/>
        <v>0</v>
      </c>
      <c r="AE258" s="28">
        <f t="shared" si="94"/>
        <v>0.73699999999999999</v>
      </c>
      <c r="AF258" s="28">
        <f t="shared" si="95"/>
        <v>4654.72</v>
      </c>
      <c r="AG258" s="28">
        <f t="shared" si="85"/>
        <v>2.78</v>
      </c>
      <c r="AH258" s="28">
        <f t="shared" si="98"/>
        <v>408.07100000000003</v>
      </c>
      <c r="AI258" s="28">
        <f t="shared" si="96"/>
        <v>0</v>
      </c>
      <c r="AJ258" s="28">
        <f t="shared" si="87"/>
        <v>4243.8689999999997</v>
      </c>
      <c r="AK258" s="30">
        <f>'Report Inputs'!$F$2</f>
        <v>55.9</v>
      </c>
      <c r="AL258" s="28">
        <f>'Report Inputs'!$E$2</f>
        <v>1080</v>
      </c>
      <c r="AM258" s="28">
        <f t="shared" si="97"/>
        <v>134.41399999999999</v>
      </c>
      <c r="AN258" s="26" t="s">
        <v>744</v>
      </c>
      <c r="AS258" s="26" t="s">
        <v>76</v>
      </c>
      <c r="AT258" s="26" t="s">
        <v>77</v>
      </c>
      <c r="AU258" s="26" t="s">
        <v>78</v>
      </c>
      <c r="AV258" s="31">
        <f t="shared" ca="1" si="99"/>
        <v>42376.365370833337</v>
      </c>
    </row>
    <row r="259" spans="1:48">
      <c r="A259" s="26">
        <v>7</v>
      </c>
      <c r="B259" s="26">
        <f>MONTH('Report Inputs'!$B$2)</f>
        <v>11</v>
      </c>
      <c r="C259" s="26">
        <f>YEAR('Report Inputs'!$B$2)</f>
        <v>2015</v>
      </c>
      <c r="D259" s="26">
        <v>66571</v>
      </c>
      <c r="F259" s="26" t="s">
        <v>65</v>
      </c>
      <c r="G259" s="26" t="s">
        <v>66</v>
      </c>
      <c r="H259" s="26" t="s">
        <v>67</v>
      </c>
      <c r="I259" s="26" t="s">
        <v>68</v>
      </c>
      <c r="J259" s="26" t="s">
        <v>69</v>
      </c>
      <c r="K259" s="26">
        <v>713</v>
      </c>
      <c r="L259" s="26" t="s">
        <v>70</v>
      </c>
      <c r="M259" s="26">
        <v>713</v>
      </c>
      <c r="N259" s="26" t="s">
        <v>71</v>
      </c>
      <c r="O259" s="26" t="s">
        <v>72</v>
      </c>
      <c r="P259" s="26">
        <v>45</v>
      </c>
      <c r="Q259" s="27">
        <v>18024</v>
      </c>
      <c r="R259" s="26">
        <v>0</v>
      </c>
      <c r="S259" s="26" t="s">
        <v>806</v>
      </c>
      <c r="T259" s="26" t="s">
        <v>80</v>
      </c>
      <c r="U259" s="26" t="str">
        <f t="shared" si="82"/>
        <v>PR</v>
      </c>
      <c r="V259" s="26">
        <f t="shared" si="100"/>
        <v>30</v>
      </c>
      <c r="W259" s="26" t="s">
        <v>124</v>
      </c>
      <c r="X259" s="26">
        <v>15</v>
      </c>
      <c r="Y259" s="26" t="s">
        <v>74</v>
      </c>
      <c r="Z259" s="26" t="s">
        <v>75</v>
      </c>
      <c r="AA259" s="28">
        <f t="shared" si="91"/>
        <v>0.93899999999999995</v>
      </c>
      <c r="AB259" s="28">
        <f t="shared" si="92"/>
        <v>18.553000000000001</v>
      </c>
      <c r="AC259" s="28">
        <f t="shared" si="93"/>
        <v>18.544</v>
      </c>
      <c r="AD259" s="28">
        <f t="shared" si="89"/>
        <v>0</v>
      </c>
      <c r="AE259" s="28">
        <f t="shared" si="94"/>
        <v>0.94799999999999995</v>
      </c>
      <c r="AF259" s="28">
        <f t="shared" si="95"/>
        <v>5922.74</v>
      </c>
      <c r="AG259" s="28">
        <f t="shared" si="85"/>
        <v>3.57</v>
      </c>
      <c r="AH259" s="28">
        <f t="shared" si="98"/>
        <v>459.74700000000001</v>
      </c>
      <c r="AI259" s="28">
        <f t="shared" si="96"/>
        <v>0</v>
      </c>
      <c r="AJ259" s="28">
        <f t="shared" si="87"/>
        <v>5459.4229999999998</v>
      </c>
      <c r="AK259" s="30">
        <f>'Report Inputs'!$F$2</f>
        <v>55.9</v>
      </c>
      <c r="AL259" s="28">
        <f>'Report Inputs'!$E$2</f>
        <v>1080</v>
      </c>
      <c r="AM259" s="28">
        <f t="shared" si="97"/>
        <v>172.91300000000001</v>
      </c>
      <c r="AN259" s="26" t="s">
        <v>744</v>
      </c>
      <c r="AS259" s="26" t="s">
        <v>76</v>
      </c>
      <c r="AT259" s="26" t="s">
        <v>77</v>
      </c>
      <c r="AU259" s="26" t="s">
        <v>78</v>
      </c>
      <c r="AV259" s="31">
        <f t="shared" ca="1" si="99"/>
        <v>42376.365370833337</v>
      </c>
    </row>
    <row r="260" spans="1:48">
      <c r="A260" s="26">
        <v>7</v>
      </c>
      <c r="B260" s="26">
        <f>MONTH('Report Inputs'!$B$2)</f>
        <v>11</v>
      </c>
      <c r="C260" s="26">
        <f>YEAR('Report Inputs'!$B$2)</f>
        <v>2015</v>
      </c>
      <c r="D260" s="26">
        <v>66571</v>
      </c>
      <c r="F260" s="26" t="s">
        <v>65</v>
      </c>
      <c r="G260" s="26" t="s">
        <v>66</v>
      </c>
      <c r="H260" s="26" t="s">
        <v>67</v>
      </c>
      <c r="I260" s="26" t="s">
        <v>68</v>
      </c>
      <c r="J260" s="26" t="s">
        <v>69</v>
      </c>
      <c r="K260" s="26">
        <v>713</v>
      </c>
      <c r="L260" s="26" t="s">
        <v>70</v>
      </c>
      <c r="M260" s="26">
        <v>713</v>
      </c>
      <c r="N260" s="26" t="s">
        <v>71</v>
      </c>
      <c r="O260" s="26" t="s">
        <v>72</v>
      </c>
      <c r="P260" s="26">
        <v>45</v>
      </c>
      <c r="Q260" s="27">
        <v>18025</v>
      </c>
      <c r="R260" s="26">
        <v>0</v>
      </c>
      <c r="S260" s="26" t="s">
        <v>821</v>
      </c>
      <c r="T260" s="26" t="s">
        <v>80</v>
      </c>
      <c r="U260" s="26" t="str">
        <f t="shared" ref="U260:U323" si="101">IF(V260&gt;0,"PR","SI")</f>
        <v>PR</v>
      </c>
      <c r="V260" s="26">
        <f t="shared" si="100"/>
        <v>30</v>
      </c>
      <c r="W260" s="26" t="s">
        <v>124</v>
      </c>
      <c r="X260" s="26">
        <v>15</v>
      </c>
      <c r="Y260" s="26" t="s">
        <v>74</v>
      </c>
      <c r="Z260" s="26" t="s">
        <v>75</v>
      </c>
      <c r="AA260" s="28">
        <f t="shared" si="91"/>
        <v>0.86199999999999999</v>
      </c>
      <c r="AB260" s="28">
        <f t="shared" si="92"/>
        <v>16.934999999999999</v>
      </c>
      <c r="AC260" s="28">
        <f t="shared" si="93"/>
        <v>16.93</v>
      </c>
      <c r="AD260" s="28">
        <f t="shared" si="89"/>
        <v>0</v>
      </c>
      <c r="AE260" s="28">
        <f t="shared" si="94"/>
        <v>0.86699999999999999</v>
      </c>
      <c r="AF260" s="28">
        <f t="shared" si="95"/>
        <v>5424.53</v>
      </c>
      <c r="AG260" s="28">
        <f t="shared" ref="AG260:AG309" si="102">IF(ISNA(VLOOKUP($Q260,data,10,FALSE)),0,VLOOKUP($Q260,data,10,FALSE))</f>
        <v>3.26</v>
      </c>
      <c r="AH260" s="28">
        <v>439</v>
      </c>
      <c r="AI260" s="28">
        <f t="shared" si="96"/>
        <v>0</v>
      </c>
      <c r="AJ260" s="28">
        <f t="shared" si="87"/>
        <v>4983.13</v>
      </c>
      <c r="AK260" s="30">
        <f>'Report Inputs'!$F$2</f>
        <v>55.9</v>
      </c>
      <c r="AL260" s="28">
        <f>'Report Inputs'!$E$2</f>
        <v>1080</v>
      </c>
      <c r="AM260" s="28">
        <f t="shared" si="97"/>
        <v>157.82900000000001</v>
      </c>
      <c r="AN260" s="26" t="s">
        <v>744</v>
      </c>
      <c r="AS260" s="26" t="s">
        <v>76</v>
      </c>
      <c r="AT260" s="26" t="s">
        <v>77</v>
      </c>
      <c r="AU260" s="26" t="s">
        <v>78</v>
      </c>
      <c r="AV260" s="31">
        <f t="shared" ca="1" si="99"/>
        <v>42376.365370833337</v>
      </c>
    </row>
    <row r="261" spans="1:48">
      <c r="A261" s="26">
        <v>7</v>
      </c>
      <c r="B261" s="26">
        <f>MONTH('Report Inputs'!$B$2)</f>
        <v>11</v>
      </c>
      <c r="C261" s="26">
        <f>YEAR('Report Inputs'!$B$2)</f>
        <v>2015</v>
      </c>
      <c r="D261" s="26">
        <v>66571</v>
      </c>
      <c r="F261" s="26" t="s">
        <v>65</v>
      </c>
      <c r="G261" s="26" t="s">
        <v>66</v>
      </c>
      <c r="H261" s="26" t="s">
        <v>67</v>
      </c>
      <c r="I261" s="26" t="s">
        <v>68</v>
      </c>
      <c r="J261" s="26" t="s">
        <v>69</v>
      </c>
      <c r="K261" s="26">
        <v>713</v>
      </c>
      <c r="L261" s="26" t="s">
        <v>70</v>
      </c>
      <c r="M261" s="26">
        <v>713</v>
      </c>
      <c r="N261" s="26" t="s">
        <v>71</v>
      </c>
      <c r="O261" s="26" t="s">
        <v>72</v>
      </c>
      <c r="P261" s="26">
        <v>45</v>
      </c>
      <c r="Q261" s="27">
        <v>18026</v>
      </c>
      <c r="R261" s="26">
        <v>0</v>
      </c>
      <c r="S261" s="26" t="s">
        <v>820</v>
      </c>
      <c r="T261" s="26" t="s">
        <v>80</v>
      </c>
      <c r="U261" s="26" t="str">
        <f t="shared" si="101"/>
        <v>PR</v>
      </c>
      <c r="V261" s="26">
        <f t="shared" si="100"/>
        <v>30</v>
      </c>
      <c r="W261" s="26" t="s">
        <v>124</v>
      </c>
      <c r="X261" s="26">
        <v>15</v>
      </c>
      <c r="Y261" s="26" t="s">
        <v>74</v>
      </c>
      <c r="Z261" s="26" t="s">
        <v>75</v>
      </c>
      <c r="AA261" s="28">
        <f t="shared" si="91"/>
        <v>0.80900000000000005</v>
      </c>
      <c r="AB261" s="28">
        <f t="shared" si="92"/>
        <v>16.12</v>
      </c>
      <c r="AC261" s="28">
        <f t="shared" si="93"/>
        <v>16.105</v>
      </c>
      <c r="AD261" s="28">
        <f t="shared" si="89"/>
        <v>0</v>
      </c>
      <c r="AE261" s="28">
        <f t="shared" si="94"/>
        <v>0.82399999999999995</v>
      </c>
      <c r="AF261" s="28">
        <f t="shared" si="95"/>
        <v>5173.7700000000004</v>
      </c>
      <c r="AG261" s="28">
        <f t="shared" si="102"/>
        <v>3.1</v>
      </c>
      <c r="AH261" s="28">
        <v>428</v>
      </c>
      <c r="AI261" s="28">
        <f t="shared" si="96"/>
        <v>0</v>
      </c>
      <c r="AJ261" s="28">
        <f t="shared" si="87"/>
        <v>4743.4059999999999</v>
      </c>
      <c r="AK261" s="30">
        <f>'Report Inputs'!$F$2</f>
        <v>55.9</v>
      </c>
      <c r="AL261" s="28">
        <f>'Report Inputs'!$E$2</f>
        <v>1080</v>
      </c>
      <c r="AM261" s="28">
        <f t="shared" si="97"/>
        <v>150.23599999999999</v>
      </c>
      <c r="AN261" s="26" t="s">
        <v>744</v>
      </c>
      <c r="AS261" s="26" t="s">
        <v>76</v>
      </c>
      <c r="AT261" s="26" t="s">
        <v>77</v>
      </c>
      <c r="AU261" s="26" t="s">
        <v>78</v>
      </c>
      <c r="AV261" s="31">
        <f t="shared" ca="1" si="99"/>
        <v>42376.365370833337</v>
      </c>
    </row>
    <row r="262" spans="1:48">
      <c r="A262" s="26">
        <v>7</v>
      </c>
      <c r="B262" s="26">
        <f>MONTH('Report Inputs'!$B$2)</f>
        <v>11</v>
      </c>
      <c r="C262" s="26">
        <f>YEAR('Report Inputs'!$B$2)</f>
        <v>2015</v>
      </c>
      <c r="D262" s="26">
        <v>66571</v>
      </c>
      <c r="F262" s="26" t="s">
        <v>65</v>
      </c>
      <c r="G262" s="26" t="s">
        <v>66</v>
      </c>
      <c r="H262" s="26" t="s">
        <v>67</v>
      </c>
      <c r="I262" s="26" t="s">
        <v>68</v>
      </c>
      <c r="J262" s="26" t="s">
        <v>69</v>
      </c>
      <c r="K262" s="26">
        <v>713</v>
      </c>
      <c r="L262" s="26" t="s">
        <v>70</v>
      </c>
      <c r="M262" s="26">
        <v>713</v>
      </c>
      <c r="N262" s="26" t="s">
        <v>71</v>
      </c>
      <c r="O262" s="26" t="s">
        <v>72</v>
      </c>
      <c r="P262" s="26">
        <v>45</v>
      </c>
      <c r="Q262" s="27">
        <v>18027</v>
      </c>
      <c r="R262" s="26">
        <v>0</v>
      </c>
      <c r="S262" s="26" t="s">
        <v>819</v>
      </c>
      <c r="T262" s="26" t="s">
        <v>80</v>
      </c>
      <c r="U262" s="26" t="str">
        <f t="shared" si="101"/>
        <v>PR</v>
      </c>
      <c r="V262" s="26">
        <f t="shared" si="100"/>
        <v>30</v>
      </c>
      <c r="W262" s="26" t="s">
        <v>124</v>
      </c>
      <c r="X262" s="26">
        <v>15</v>
      </c>
      <c r="Y262" s="26" t="s">
        <v>74</v>
      </c>
      <c r="Z262" s="26" t="s">
        <v>75</v>
      </c>
      <c r="AA262" s="28">
        <f t="shared" ref="AA262:AA293" si="103">IF(ISNA(VLOOKUP($Q262,data,5,FALSE)),0,VLOOKUP($Q262,data,5,FALSE))</f>
        <v>0.54100000000000004</v>
      </c>
      <c r="AB262" s="28">
        <f t="shared" ref="AB262:AB293" si="104">IF(ISNA(VLOOKUP($Q262,data,7,FALSE)),0,VLOOKUP($Q262,data,7,FALSE))</f>
        <v>10.891999999999999</v>
      </c>
      <c r="AC262" s="28">
        <f t="shared" ref="AC262:AC293" si="105">IF(ISNA(VLOOKUP($Q262,data,6,FALSE)),0,VLOOKUP($Q262,data,6,FALSE))</f>
        <v>10.875999999999999</v>
      </c>
      <c r="AD262" s="28">
        <f t="shared" si="89"/>
        <v>0</v>
      </c>
      <c r="AE262" s="28">
        <f t="shared" ref="AE262:AE293" si="106">IF(ISNA(VLOOKUP($Q262,data,13,FALSE)),0,VLOOKUP($Q262,data,13,FALSE))</f>
        <v>0.55700000000000005</v>
      </c>
      <c r="AF262" s="28">
        <f t="shared" si="95"/>
        <v>3564.37</v>
      </c>
      <c r="AG262" s="28">
        <f t="shared" si="102"/>
        <v>2.1</v>
      </c>
      <c r="AH262" s="28">
        <f t="shared" si="98"/>
        <v>357.46199999999999</v>
      </c>
      <c r="AI262" s="28">
        <f t="shared" si="96"/>
        <v>0</v>
      </c>
      <c r="AJ262" s="28">
        <f t="shared" si="87"/>
        <v>3204.808</v>
      </c>
      <c r="AK262" s="30">
        <f>'Report Inputs'!$F$2</f>
        <v>55.9</v>
      </c>
      <c r="AL262" s="28">
        <f>'Report Inputs'!$E$2</f>
        <v>1080</v>
      </c>
      <c r="AM262" s="28">
        <f t="shared" ref="AM262:AM293" si="107">IF(ISNA(VLOOKUP($Q262,data,14,FALSE)),0,VLOOKUP($Q262,data,14,FALSE))</f>
        <v>101.504</v>
      </c>
      <c r="AN262" s="26" t="s">
        <v>744</v>
      </c>
      <c r="AS262" s="26" t="s">
        <v>76</v>
      </c>
      <c r="AT262" s="26" t="s">
        <v>77</v>
      </c>
      <c r="AU262" s="26" t="s">
        <v>78</v>
      </c>
      <c r="AV262" s="31">
        <f t="shared" ca="1" si="99"/>
        <v>42376.365370833337</v>
      </c>
    </row>
    <row r="263" spans="1:48">
      <c r="A263" s="26">
        <v>7</v>
      </c>
      <c r="B263" s="26">
        <f>MONTH('Report Inputs'!$B$2)</f>
        <v>11</v>
      </c>
      <c r="C263" s="26">
        <f>YEAR('Report Inputs'!$B$2)</f>
        <v>2015</v>
      </c>
      <c r="D263" s="26">
        <v>66571</v>
      </c>
      <c r="F263" s="26" t="s">
        <v>65</v>
      </c>
      <c r="G263" s="26" t="s">
        <v>66</v>
      </c>
      <c r="H263" s="26" t="s">
        <v>67</v>
      </c>
      <c r="I263" s="26" t="s">
        <v>68</v>
      </c>
      <c r="J263" s="26" t="s">
        <v>69</v>
      </c>
      <c r="K263" s="26">
        <v>713</v>
      </c>
      <c r="L263" s="26" t="s">
        <v>70</v>
      </c>
      <c r="M263" s="26">
        <v>713</v>
      </c>
      <c r="N263" s="26" t="s">
        <v>71</v>
      </c>
      <c r="O263" s="26" t="s">
        <v>72</v>
      </c>
      <c r="P263" s="26">
        <v>45</v>
      </c>
      <c r="Q263" s="27">
        <v>18028</v>
      </c>
      <c r="R263" s="26">
        <v>0</v>
      </c>
      <c r="S263" s="26" t="s">
        <v>810</v>
      </c>
      <c r="T263" s="26" t="s">
        <v>80</v>
      </c>
      <c r="U263" s="26" t="str">
        <f t="shared" si="101"/>
        <v>PR</v>
      </c>
      <c r="V263" s="26">
        <f t="shared" si="100"/>
        <v>30</v>
      </c>
      <c r="W263" s="26" t="s">
        <v>124</v>
      </c>
      <c r="X263" s="26">
        <v>15</v>
      </c>
      <c r="Y263" s="26" t="s">
        <v>74</v>
      </c>
      <c r="Z263" s="26" t="s">
        <v>75</v>
      </c>
      <c r="AA263" s="28">
        <f t="shared" si="103"/>
        <v>0.84</v>
      </c>
      <c r="AB263" s="28">
        <f t="shared" si="104"/>
        <v>16.54</v>
      </c>
      <c r="AC263" s="28">
        <f t="shared" si="105"/>
        <v>16.533999999999999</v>
      </c>
      <c r="AD263" s="28">
        <f t="shared" si="89"/>
        <v>0</v>
      </c>
      <c r="AE263" s="28">
        <f t="shared" si="106"/>
        <v>0.84599999999999997</v>
      </c>
      <c r="AF263" s="28">
        <f t="shared" si="95"/>
        <v>5306.63</v>
      </c>
      <c r="AG263" s="28">
        <f t="shared" si="102"/>
        <v>3.19</v>
      </c>
      <c r="AH263" s="28">
        <v>437</v>
      </c>
      <c r="AI263" s="28">
        <f t="shared" si="96"/>
        <v>0</v>
      </c>
      <c r="AJ263" s="28">
        <f t="shared" si="87"/>
        <v>4867.0950000000003</v>
      </c>
      <c r="AK263" s="30">
        <f>'Report Inputs'!$F$2</f>
        <v>55.9</v>
      </c>
      <c r="AL263" s="28">
        <f>'Report Inputs'!$E$2</f>
        <v>1080</v>
      </c>
      <c r="AM263" s="28">
        <f t="shared" si="107"/>
        <v>154.15299999999999</v>
      </c>
      <c r="AN263" s="26" t="s">
        <v>744</v>
      </c>
      <c r="AS263" s="26" t="s">
        <v>76</v>
      </c>
      <c r="AT263" s="26" t="s">
        <v>77</v>
      </c>
      <c r="AU263" s="26" t="s">
        <v>78</v>
      </c>
      <c r="AV263" s="31">
        <f t="shared" ca="1" si="99"/>
        <v>42376.365370833337</v>
      </c>
    </row>
    <row r="264" spans="1:48">
      <c r="A264" s="26">
        <v>7</v>
      </c>
      <c r="B264" s="26">
        <f>MONTH('Report Inputs'!$B$2)</f>
        <v>11</v>
      </c>
      <c r="C264" s="26">
        <f>YEAR('Report Inputs'!$B$2)</f>
        <v>2015</v>
      </c>
      <c r="D264" s="26">
        <v>66571</v>
      </c>
      <c r="F264" s="26" t="s">
        <v>65</v>
      </c>
      <c r="G264" s="26" t="s">
        <v>66</v>
      </c>
      <c r="H264" s="26" t="s">
        <v>67</v>
      </c>
      <c r="I264" s="26" t="s">
        <v>68</v>
      </c>
      <c r="J264" s="26" t="s">
        <v>69</v>
      </c>
      <c r="K264" s="26">
        <v>713</v>
      </c>
      <c r="L264" s="26" t="s">
        <v>70</v>
      </c>
      <c r="M264" s="26">
        <v>713</v>
      </c>
      <c r="N264" s="26" t="s">
        <v>71</v>
      </c>
      <c r="O264" s="26" t="s">
        <v>72</v>
      </c>
      <c r="P264" s="26">
        <v>45</v>
      </c>
      <c r="Q264" s="27">
        <v>18055</v>
      </c>
      <c r="R264" s="26">
        <v>0</v>
      </c>
      <c r="S264" s="26" t="s">
        <v>856</v>
      </c>
      <c r="T264" s="26" t="s">
        <v>80</v>
      </c>
      <c r="U264" s="26" t="str">
        <f t="shared" si="101"/>
        <v>PR</v>
      </c>
      <c r="V264" s="26">
        <f t="shared" si="100"/>
        <v>30</v>
      </c>
      <c r="W264" s="26" t="s">
        <v>124</v>
      </c>
      <c r="X264" s="26">
        <v>15</v>
      </c>
      <c r="Y264" s="26" t="s">
        <v>74</v>
      </c>
      <c r="Z264" s="26" t="s">
        <v>75</v>
      </c>
      <c r="AA264" s="28">
        <f t="shared" si="103"/>
        <v>0.83199999999999996</v>
      </c>
      <c r="AB264" s="28">
        <f t="shared" si="104"/>
        <v>16.641999999999999</v>
      </c>
      <c r="AC264" s="28">
        <f t="shared" si="105"/>
        <v>16.625</v>
      </c>
      <c r="AD264" s="28">
        <f t="shared" si="89"/>
        <v>0</v>
      </c>
      <c r="AE264" s="28">
        <f t="shared" si="106"/>
        <v>0.84899999999999998</v>
      </c>
      <c r="AF264" s="28">
        <f t="shared" si="95"/>
        <v>5334.58</v>
      </c>
      <c r="AG264" s="28">
        <f t="shared" si="102"/>
        <v>3.21</v>
      </c>
      <c r="AH264" s="28">
        <v>435</v>
      </c>
      <c r="AI264" s="28">
        <f t="shared" si="96"/>
        <v>0</v>
      </c>
      <c r="AJ264" s="28">
        <f t="shared" si="87"/>
        <v>4897.1319999999996</v>
      </c>
      <c r="AK264" s="30">
        <f>'Report Inputs'!$F$2</f>
        <v>55.9</v>
      </c>
      <c r="AL264" s="28">
        <f>'Report Inputs'!$E$2</f>
        <v>1080</v>
      </c>
      <c r="AM264" s="28">
        <f t="shared" si="107"/>
        <v>155.10400000000001</v>
      </c>
      <c r="AN264" s="26" t="s">
        <v>744</v>
      </c>
      <c r="AS264" s="26" t="s">
        <v>76</v>
      </c>
      <c r="AT264" s="26" t="s">
        <v>77</v>
      </c>
      <c r="AU264" s="26" t="s">
        <v>78</v>
      </c>
      <c r="AV264" s="31">
        <f t="shared" ca="1" si="99"/>
        <v>42376.365370833337</v>
      </c>
    </row>
    <row r="265" spans="1:48">
      <c r="A265" s="26">
        <v>7</v>
      </c>
      <c r="B265" s="26">
        <f>MONTH('Report Inputs'!$B$2)</f>
        <v>11</v>
      </c>
      <c r="C265" s="26">
        <f>YEAR('Report Inputs'!$B$2)</f>
        <v>2015</v>
      </c>
      <c r="D265" s="26">
        <v>66571</v>
      </c>
      <c r="F265" s="26" t="s">
        <v>65</v>
      </c>
      <c r="G265" s="26" t="s">
        <v>66</v>
      </c>
      <c r="H265" s="26" t="s">
        <v>67</v>
      </c>
      <c r="I265" s="26" t="s">
        <v>68</v>
      </c>
      <c r="J265" s="26" t="s">
        <v>69</v>
      </c>
      <c r="K265" s="26">
        <v>713</v>
      </c>
      <c r="L265" s="26" t="s">
        <v>70</v>
      </c>
      <c r="M265" s="26">
        <v>713</v>
      </c>
      <c r="N265" s="26" t="s">
        <v>71</v>
      </c>
      <c r="O265" s="26" t="s">
        <v>72</v>
      </c>
      <c r="P265" s="26">
        <v>45</v>
      </c>
      <c r="Q265" s="27">
        <v>18057</v>
      </c>
      <c r="R265" s="26">
        <v>0</v>
      </c>
      <c r="S265" s="26" t="s">
        <v>750</v>
      </c>
      <c r="T265" s="26" t="s">
        <v>80</v>
      </c>
      <c r="U265" s="26" t="str">
        <f t="shared" si="101"/>
        <v>PR</v>
      </c>
      <c r="V265" s="26">
        <f t="shared" si="100"/>
        <v>30</v>
      </c>
      <c r="W265" s="26" t="s">
        <v>88</v>
      </c>
      <c r="X265" s="26">
        <v>16</v>
      </c>
      <c r="Y265" s="26" t="s">
        <v>74</v>
      </c>
      <c r="Z265" s="26" t="s">
        <v>75</v>
      </c>
      <c r="AA265" s="28">
        <f t="shared" si="103"/>
        <v>0.77800000000000002</v>
      </c>
      <c r="AB265" s="28">
        <f t="shared" si="104"/>
        <v>18.437000000000001</v>
      </c>
      <c r="AC265" s="28">
        <f t="shared" si="105"/>
        <v>18.234000000000002</v>
      </c>
      <c r="AD265" s="28">
        <f t="shared" si="89"/>
        <v>0</v>
      </c>
      <c r="AE265" s="28">
        <f t="shared" si="106"/>
        <v>0.98099999999999998</v>
      </c>
      <c r="AF265" s="28">
        <f t="shared" si="95"/>
        <v>6606.3</v>
      </c>
      <c r="AG265" s="28">
        <f t="shared" si="102"/>
        <v>3.53</v>
      </c>
      <c r="AH265" s="28">
        <f t="shared" si="98"/>
        <v>489.41399999999999</v>
      </c>
      <c r="AI265" s="28">
        <f t="shared" si="96"/>
        <v>0</v>
      </c>
      <c r="AJ265" s="28">
        <f t="shared" si="87"/>
        <v>6113.3559999999998</v>
      </c>
      <c r="AK265" s="30">
        <f>'Report Inputs'!$F$2</f>
        <v>55.9</v>
      </c>
      <c r="AL265" s="28">
        <f>'Report Inputs'!$E$2</f>
        <v>1080</v>
      </c>
      <c r="AM265" s="28">
        <f t="shared" si="107"/>
        <v>131.911</v>
      </c>
      <c r="AN265" s="26" t="s">
        <v>744</v>
      </c>
      <c r="AS265" s="26" t="s">
        <v>76</v>
      </c>
      <c r="AT265" s="26" t="s">
        <v>77</v>
      </c>
      <c r="AU265" s="26" t="s">
        <v>78</v>
      </c>
      <c r="AV265" s="31">
        <f t="shared" ca="1" si="99"/>
        <v>42376.365370833337</v>
      </c>
    </row>
    <row r="266" spans="1:48">
      <c r="A266" s="26">
        <v>7</v>
      </c>
      <c r="B266" s="26">
        <f>MONTH('Report Inputs'!$B$2)</f>
        <v>11</v>
      </c>
      <c r="C266" s="26">
        <f>YEAR('Report Inputs'!$B$2)</f>
        <v>2015</v>
      </c>
      <c r="D266" s="26">
        <v>66571</v>
      </c>
      <c r="F266" s="26" t="s">
        <v>65</v>
      </c>
      <c r="G266" s="26" t="s">
        <v>66</v>
      </c>
      <c r="H266" s="26" t="s">
        <v>67</v>
      </c>
      <c r="I266" s="26" t="s">
        <v>68</v>
      </c>
      <c r="J266" s="26" t="s">
        <v>69</v>
      </c>
      <c r="K266" s="26">
        <v>713</v>
      </c>
      <c r="L266" s="26" t="s">
        <v>70</v>
      </c>
      <c r="M266" s="26">
        <v>713</v>
      </c>
      <c r="N266" s="26" t="s">
        <v>71</v>
      </c>
      <c r="O266" s="26" t="s">
        <v>72</v>
      </c>
      <c r="P266" s="26">
        <v>45</v>
      </c>
      <c r="Q266" s="27">
        <v>18058</v>
      </c>
      <c r="R266" s="26">
        <v>0</v>
      </c>
      <c r="S266" s="26" t="s">
        <v>747</v>
      </c>
      <c r="T266" s="26" t="s">
        <v>80</v>
      </c>
      <c r="U266" s="26" t="str">
        <f t="shared" si="101"/>
        <v>PR</v>
      </c>
      <c r="V266" s="26">
        <f t="shared" si="100"/>
        <v>30</v>
      </c>
      <c r="W266" s="26" t="s">
        <v>88</v>
      </c>
      <c r="X266" s="26">
        <v>16</v>
      </c>
      <c r="Y266" s="26" t="s">
        <v>74</v>
      </c>
      <c r="Z266" s="26" t="s">
        <v>75</v>
      </c>
      <c r="AA266" s="28">
        <f t="shared" si="103"/>
        <v>0.55800000000000005</v>
      </c>
      <c r="AB266" s="28">
        <f t="shared" si="104"/>
        <v>13.388999999999999</v>
      </c>
      <c r="AC266" s="28">
        <f t="shared" si="105"/>
        <v>13.236000000000001</v>
      </c>
      <c r="AD266" s="28">
        <f t="shared" si="89"/>
        <v>0</v>
      </c>
      <c r="AE266" s="28">
        <f t="shared" si="106"/>
        <v>0.71099999999999997</v>
      </c>
      <c r="AF266" s="28">
        <f t="shared" si="95"/>
        <v>4855.2299999999996</v>
      </c>
      <c r="AG266" s="28">
        <f t="shared" si="102"/>
        <v>2.56</v>
      </c>
      <c r="AH266" s="28">
        <f t="shared" si="98"/>
        <v>413.46300000000002</v>
      </c>
      <c r="AI266" s="28">
        <f t="shared" si="96"/>
        <v>0</v>
      </c>
      <c r="AJ266" s="28">
        <f t="shared" si="87"/>
        <v>4439.2070000000003</v>
      </c>
      <c r="AK266" s="30">
        <f>'Report Inputs'!$F$2</f>
        <v>55.9</v>
      </c>
      <c r="AL266" s="28">
        <f>'Report Inputs'!$E$2</f>
        <v>1080</v>
      </c>
      <c r="AM266" s="28">
        <f t="shared" si="107"/>
        <v>95.787000000000006</v>
      </c>
      <c r="AN266" s="26" t="s">
        <v>744</v>
      </c>
      <c r="AS266" s="26" t="s">
        <v>76</v>
      </c>
      <c r="AT266" s="26" t="s">
        <v>77</v>
      </c>
      <c r="AU266" s="26" t="s">
        <v>78</v>
      </c>
      <c r="AV266" s="31">
        <f t="shared" ca="1" si="99"/>
        <v>42376.365370833337</v>
      </c>
    </row>
    <row r="267" spans="1:48">
      <c r="A267" s="26">
        <v>7</v>
      </c>
      <c r="B267" s="26">
        <f>MONTH('Report Inputs'!$B$2)</f>
        <v>11</v>
      </c>
      <c r="C267" s="26">
        <f>YEAR('Report Inputs'!$B$2)</f>
        <v>2015</v>
      </c>
      <c r="D267" s="26">
        <v>66571</v>
      </c>
      <c r="F267" s="26" t="s">
        <v>65</v>
      </c>
      <c r="G267" s="26" t="s">
        <v>66</v>
      </c>
      <c r="H267" s="26" t="s">
        <v>67</v>
      </c>
      <c r="I267" s="26" t="s">
        <v>68</v>
      </c>
      <c r="J267" s="26" t="s">
        <v>69</v>
      </c>
      <c r="K267" s="26">
        <v>713</v>
      </c>
      <c r="L267" s="26" t="s">
        <v>70</v>
      </c>
      <c r="M267" s="26">
        <v>713</v>
      </c>
      <c r="N267" s="26" t="s">
        <v>71</v>
      </c>
      <c r="O267" s="26" t="s">
        <v>72</v>
      </c>
      <c r="P267" s="26">
        <v>45</v>
      </c>
      <c r="Q267" s="27">
        <v>18059</v>
      </c>
      <c r="R267" s="26">
        <v>0</v>
      </c>
      <c r="S267" s="26" t="s">
        <v>767</v>
      </c>
      <c r="T267" s="26" t="s">
        <v>80</v>
      </c>
      <c r="U267" s="26" t="str">
        <f t="shared" si="101"/>
        <v>PR</v>
      </c>
      <c r="V267" s="26">
        <f t="shared" si="100"/>
        <v>30</v>
      </c>
      <c r="W267" s="26" t="s">
        <v>88</v>
      </c>
      <c r="X267" s="26">
        <v>16</v>
      </c>
      <c r="Y267" s="26" t="s">
        <v>74</v>
      </c>
      <c r="Z267" s="26" t="s">
        <v>75</v>
      </c>
      <c r="AA267" s="28">
        <f t="shared" si="103"/>
        <v>0.55300000000000005</v>
      </c>
      <c r="AB267" s="28">
        <f t="shared" si="104"/>
        <v>12.688000000000001</v>
      </c>
      <c r="AC267" s="28">
        <f t="shared" si="105"/>
        <v>12.565</v>
      </c>
      <c r="AD267" s="28">
        <f t="shared" si="89"/>
        <v>0</v>
      </c>
      <c r="AE267" s="28">
        <f t="shared" si="106"/>
        <v>0.67600000000000005</v>
      </c>
      <c r="AF267" s="28">
        <f t="shared" si="95"/>
        <v>4612.2</v>
      </c>
      <c r="AG267" s="28">
        <f t="shared" si="102"/>
        <v>2.4300000000000002</v>
      </c>
      <c r="AH267" s="28">
        <f t="shared" si="98"/>
        <v>402.92200000000003</v>
      </c>
      <c r="AI267" s="28">
        <f t="shared" si="96"/>
        <v>0</v>
      </c>
      <c r="AJ267" s="28">
        <f t="shared" si="87"/>
        <v>4206.848</v>
      </c>
      <c r="AK267" s="30">
        <f>'Report Inputs'!$F$2</f>
        <v>55.9</v>
      </c>
      <c r="AL267" s="28">
        <f>'Report Inputs'!$E$2</f>
        <v>1080</v>
      </c>
      <c r="AM267" s="28">
        <f t="shared" si="107"/>
        <v>90.772999999999996</v>
      </c>
      <c r="AN267" s="26" t="s">
        <v>744</v>
      </c>
      <c r="AS267" s="26" t="s">
        <v>76</v>
      </c>
      <c r="AT267" s="26" t="s">
        <v>77</v>
      </c>
      <c r="AU267" s="26" t="s">
        <v>78</v>
      </c>
      <c r="AV267" s="31">
        <f t="shared" ca="1" si="99"/>
        <v>42376.365370833337</v>
      </c>
    </row>
    <row r="268" spans="1:48">
      <c r="A268" s="26">
        <v>7</v>
      </c>
      <c r="B268" s="26">
        <f>MONTH('Report Inputs'!$B$2)</f>
        <v>11</v>
      </c>
      <c r="C268" s="26">
        <f>YEAR('Report Inputs'!$B$2)</f>
        <v>2015</v>
      </c>
      <c r="D268" s="26">
        <v>66571</v>
      </c>
      <c r="F268" s="26" t="s">
        <v>65</v>
      </c>
      <c r="G268" s="26" t="s">
        <v>66</v>
      </c>
      <c r="H268" s="26" t="s">
        <v>67</v>
      </c>
      <c r="I268" s="26" t="s">
        <v>68</v>
      </c>
      <c r="J268" s="26" t="s">
        <v>69</v>
      </c>
      <c r="K268" s="26">
        <v>713</v>
      </c>
      <c r="L268" s="26" t="s">
        <v>70</v>
      </c>
      <c r="M268" s="26">
        <v>713</v>
      </c>
      <c r="N268" s="26" t="s">
        <v>71</v>
      </c>
      <c r="O268" s="26" t="s">
        <v>72</v>
      </c>
      <c r="P268" s="26">
        <v>45</v>
      </c>
      <c r="Q268" s="27">
        <v>18060</v>
      </c>
      <c r="R268" s="26">
        <v>0</v>
      </c>
      <c r="S268" s="26" t="s">
        <v>752</v>
      </c>
      <c r="T268" s="26" t="s">
        <v>80</v>
      </c>
      <c r="U268" s="26" t="str">
        <f t="shared" si="101"/>
        <v>PR</v>
      </c>
      <c r="V268" s="26">
        <f t="shared" si="100"/>
        <v>30</v>
      </c>
      <c r="W268" s="26" t="s">
        <v>88</v>
      </c>
      <c r="X268" s="26">
        <v>16</v>
      </c>
      <c r="Y268" s="26" t="s">
        <v>74</v>
      </c>
      <c r="Z268" s="26" t="s">
        <v>75</v>
      </c>
      <c r="AA268" s="28">
        <f t="shared" si="103"/>
        <v>0.28199999999999997</v>
      </c>
      <c r="AB268" s="28">
        <f t="shared" si="104"/>
        <v>6.4589999999999996</v>
      </c>
      <c r="AC268" s="28">
        <f t="shared" si="105"/>
        <v>6.3959999999999999</v>
      </c>
      <c r="AD268" s="28">
        <f t="shared" si="89"/>
        <v>0</v>
      </c>
      <c r="AE268" s="28">
        <f t="shared" si="106"/>
        <v>0.34499999999999997</v>
      </c>
      <c r="AF268" s="28">
        <f t="shared" si="95"/>
        <v>2451.71</v>
      </c>
      <c r="AG268" s="28">
        <f t="shared" si="102"/>
        <v>1.24</v>
      </c>
      <c r="AH268" s="28">
        <v>310</v>
      </c>
      <c r="AI268" s="28">
        <f t="shared" si="96"/>
        <v>0</v>
      </c>
      <c r="AJ268" s="28">
        <f t="shared" ref="AJ268:AJ309" si="108">IF(ISNA(VLOOKUP($Q268,data,8,FALSE)),0,VLOOKUP($Q268,data,8,FALSE))</f>
        <v>2141.2579999999998</v>
      </c>
      <c r="AK268" s="30">
        <f>'Report Inputs'!$F$2</f>
        <v>55.9</v>
      </c>
      <c r="AL268" s="28">
        <f>'Report Inputs'!$E$2</f>
        <v>1080</v>
      </c>
      <c r="AM268" s="28">
        <f t="shared" si="107"/>
        <v>46.203000000000003</v>
      </c>
      <c r="AN268" s="26" t="s">
        <v>744</v>
      </c>
      <c r="AS268" s="26" t="s">
        <v>76</v>
      </c>
      <c r="AT268" s="26" t="s">
        <v>77</v>
      </c>
      <c r="AU268" s="26" t="s">
        <v>78</v>
      </c>
      <c r="AV268" s="31">
        <f t="shared" ca="1" si="99"/>
        <v>42376.365370833337</v>
      </c>
    </row>
    <row r="269" spans="1:48">
      <c r="A269" s="26">
        <v>7</v>
      </c>
      <c r="B269" s="26">
        <f>MONTH('Report Inputs'!$B$2)</f>
        <v>11</v>
      </c>
      <c r="C269" s="26">
        <f>YEAR('Report Inputs'!$B$2)</f>
        <v>2015</v>
      </c>
      <c r="D269" s="26">
        <v>66571</v>
      </c>
      <c r="F269" s="26" t="s">
        <v>65</v>
      </c>
      <c r="G269" s="26" t="s">
        <v>66</v>
      </c>
      <c r="H269" s="26" t="s">
        <v>67</v>
      </c>
      <c r="I269" s="26" t="s">
        <v>68</v>
      </c>
      <c r="J269" s="26" t="s">
        <v>69</v>
      </c>
      <c r="K269" s="26">
        <v>713</v>
      </c>
      <c r="L269" s="26" t="s">
        <v>70</v>
      </c>
      <c r="M269" s="26">
        <v>713</v>
      </c>
      <c r="N269" s="26" t="s">
        <v>71</v>
      </c>
      <c r="O269" s="26" t="s">
        <v>72</v>
      </c>
      <c r="P269" s="26">
        <v>45</v>
      </c>
      <c r="Q269" s="27">
        <v>18061</v>
      </c>
      <c r="R269" s="26">
        <v>0</v>
      </c>
      <c r="S269" s="26" t="s">
        <v>733</v>
      </c>
      <c r="T269" s="26" t="s">
        <v>80</v>
      </c>
      <c r="U269" s="26" t="str">
        <f t="shared" si="101"/>
        <v>PR</v>
      </c>
      <c r="V269" s="26">
        <f t="shared" si="100"/>
        <v>30</v>
      </c>
      <c r="W269" s="26" t="s">
        <v>88</v>
      </c>
      <c r="X269" s="26">
        <v>16</v>
      </c>
      <c r="Y269" s="26" t="s">
        <v>74</v>
      </c>
      <c r="Z269" s="26" t="s">
        <v>75</v>
      </c>
      <c r="AA269" s="28">
        <f t="shared" si="103"/>
        <v>0.33400000000000002</v>
      </c>
      <c r="AB269" s="28">
        <f t="shared" si="104"/>
        <v>8.032</v>
      </c>
      <c r="AC269" s="28">
        <f t="shared" si="105"/>
        <v>7.9390000000000001</v>
      </c>
      <c r="AD269" s="28">
        <f t="shared" si="89"/>
        <v>0</v>
      </c>
      <c r="AE269" s="28">
        <f t="shared" si="106"/>
        <v>0.42699999999999999</v>
      </c>
      <c r="AF269" s="28">
        <f t="shared" si="95"/>
        <v>2997.41</v>
      </c>
      <c r="AG269" s="28">
        <f t="shared" si="102"/>
        <v>1.54</v>
      </c>
      <c r="AH269" s="28">
        <v>332</v>
      </c>
      <c r="AI269" s="28">
        <f t="shared" si="96"/>
        <v>0</v>
      </c>
      <c r="AJ269" s="28">
        <f t="shared" si="108"/>
        <v>2662.9879999999998</v>
      </c>
      <c r="AK269" s="30">
        <f>'Report Inputs'!$F$2</f>
        <v>55.9</v>
      </c>
      <c r="AL269" s="28">
        <f>'Report Inputs'!$E$2</f>
        <v>1080</v>
      </c>
      <c r="AM269" s="28">
        <f t="shared" si="107"/>
        <v>57.46</v>
      </c>
      <c r="AN269" s="26" t="s">
        <v>744</v>
      </c>
      <c r="AS269" s="26" t="s">
        <v>76</v>
      </c>
      <c r="AT269" s="26" t="s">
        <v>77</v>
      </c>
      <c r="AU269" s="26" t="s">
        <v>78</v>
      </c>
      <c r="AV269" s="31">
        <f t="shared" ca="1" si="99"/>
        <v>42376.365370833337</v>
      </c>
    </row>
    <row r="270" spans="1:48">
      <c r="A270" s="26">
        <v>7</v>
      </c>
      <c r="B270" s="26">
        <f>MONTH('Report Inputs'!$B$2)</f>
        <v>11</v>
      </c>
      <c r="C270" s="26">
        <f>YEAR('Report Inputs'!$B$2)</f>
        <v>2015</v>
      </c>
      <c r="D270" s="26">
        <v>66571</v>
      </c>
      <c r="F270" s="26" t="s">
        <v>65</v>
      </c>
      <c r="G270" s="26" t="s">
        <v>66</v>
      </c>
      <c r="H270" s="26" t="s">
        <v>67</v>
      </c>
      <c r="I270" s="26" t="s">
        <v>68</v>
      </c>
      <c r="J270" s="26" t="s">
        <v>69</v>
      </c>
      <c r="K270" s="26">
        <v>713</v>
      </c>
      <c r="L270" s="26" t="s">
        <v>70</v>
      </c>
      <c r="M270" s="26">
        <v>713</v>
      </c>
      <c r="N270" s="26" t="s">
        <v>71</v>
      </c>
      <c r="O270" s="26" t="s">
        <v>72</v>
      </c>
      <c r="P270" s="26">
        <v>45</v>
      </c>
      <c r="Q270" s="27">
        <v>18062</v>
      </c>
      <c r="R270" s="26">
        <v>0</v>
      </c>
      <c r="S270" s="26" t="s">
        <v>768</v>
      </c>
      <c r="T270" s="26" t="s">
        <v>80</v>
      </c>
      <c r="U270" s="26" t="str">
        <f t="shared" si="101"/>
        <v>PR</v>
      </c>
      <c r="V270" s="26">
        <f t="shared" si="100"/>
        <v>30</v>
      </c>
      <c r="W270" s="26" t="s">
        <v>88</v>
      </c>
      <c r="X270" s="26">
        <v>16</v>
      </c>
      <c r="Y270" s="26" t="s">
        <v>74</v>
      </c>
      <c r="Z270" s="26" t="s">
        <v>75</v>
      </c>
      <c r="AA270" s="28">
        <f t="shared" si="103"/>
        <v>0.66500000000000004</v>
      </c>
      <c r="AB270" s="28">
        <f t="shared" si="104"/>
        <v>15.715</v>
      </c>
      <c r="AC270" s="28">
        <f t="shared" si="105"/>
        <v>15.544</v>
      </c>
      <c r="AD270" s="28">
        <f t="shared" si="89"/>
        <v>0</v>
      </c>
      <c r="AE270" s="28">
        <f t="shared" si="106"/>
        <v>0.83599999999999997</v>
      </c>
      <c r="AF270" s="28">
        <f t="shared" si="95"/>
        <v>5665.05</v>
      </c>
      <c r="AG270" s="28">
        <f t="shared" si="102"/>
        <v>3.01</v>
      </c>
      <c r="AH270" s="28">
        <f t="shared" si="98"/>
        <v>451.90800000000002</v>
      </c>
      <c r="AI270" s="28">
        <f t="shared" si="96"/>
        <v>0</v>
      </c>
      <c r="AJ270" s="28">
        <f t="shared" si="108"/>
        <v>5210.1319999999996</v>
      </c>
      <c r="AK270" s="30">
        <f>'Report Inputs'!$F$2</f>
        <v>55.9</v>
      </c>
      <c r="AL270" s="28">
        <f>'Report Inputs'!$E$2</f>
        <v>1080</v>
      </c>
      <c r="AM270" s="28">
        <f t="shared" si="107"/>
        <v>112.42100000000001</v>
      </c>
      <c r="AN270" s="26" t="s">
        <v>744</v>
      </c>
      <c r="AS270" s="26" t="s">
        <v>76</v>
      </c>
      <c r="AT270" s="26" t="s">
        <v>77</v>
      </c>
      <c r="AU270" s="26" t="s">
        <v>78</v>
      </c>
      <c r="AV270" s="31">
        <f t="shared" ca="1" si="99"/>
        <v>42376.365370833337</v>
      </c>
    </row>
    <row r="271" spans="1:48">
      <c r="A271" s="26">
        <v>7</v>
      </c>
      <c r="B271" s="26">
        <f>MONTH('Report Inputs'!$B$2)</f>
        <v>11</v>
      </c>
      <c r="C271" s="26">
        <f>YEAR('Report Inputs'!$B$2)</f>
        <v>2015</v>
      </c>
      <c r="D271" s="26">
        <v>66571</v>
      </c>
      <c r="F271" s="26" t="s">
        <v>65</v>
      </c>
      <c r="G271" s="26" t="s">
        <v>66</v>
      </c>
      <c r="H271" s="26" t="s">
        <v>67</v>
      </c>
      <c r="I271" s="26" t="s">
        <v>68</v>
      </c>
      <c r="J271" s="26" t="s">
        <v>69</v>
      </c>
      <c r="K271" s="26">
        <v>713</v>
      </c>
      <c r="L271" s="26" t="s">
        <v>70</v>
      </c>
      <c r="M271" s="26">
        <v>713</v>
      </c>
      <c r="N271" s="26" t="s">
        <v>71</v>
      </c>
      <c r="O271" s="26" t="s">
        <v>72</v>
      </c>
      <c r="P271" s="26">
        <v>45</v>
      </c>
      <c r="Q271" s="27">
        <v>18063</v>
      </c>
      <c r="R271" s="26">
        <v>0</v>
      </c>
      <c r="S271" s="26" t="s">
        <v>746</v>
      </c>
      <c r="T271" s="26" t="s">
        <v>80</v>
      </c>
      <c r="U271" s="26" t="str">
        <f t="shared" si="101"/>
        <v>PR</v>
      </c>
      <c r="V271" s="26">
        <f t="shared" si="100"/>
        <v>30</v>
      </c>
      <c r="W271" s="26" t="s">
        <v>88</v>
      </c>
      <c r="X271" s="26">
        <v>16</v>
      </c>
      <c r="Y271" s="26" t="s">
        <v>74</v>
      </c>
      <c r="Z271" s="26" t="s">
        <v>75</v>
      </c>
      <c r="AA271" s="28">
        <f t="shared" si="103"/>
        <v>0.38800000000000001</v>
      </c>
      <c r="AB271" s="28">
        <f t="shared" si="104"/>
        <v>9.1329999999999991</v>
      </c>
      <c r="AC271" s="28">
        <f t="shared" si="105"/>
        <v>9.0350000000000001</v>
      </c>
      <c r="AD271" s="28">
        <f t="shared" si="89"/>
        <v>0</v>
      </c>
      <c r="AE271" s="28">
        <f t="shared" si="106"/>
        <v>0.48599999999999999</v>
      </c>
      <c r="AF271" s="28">
        <f t="shared" si="95"/>
        <v>3378.82</v>
      </c>
      <c r="AG271" s="28">
        <f t="shared" si="102"/>
        <v>1.75</v>
      </c>
      <c r="AH271" s="28">
        <f t="shared" si="98"/>
        <v>349.42500000000001</v>
      </c>
      <c r="AI271" s="28">
        <f t="shared" si="96"/>
        <v>0</v>
      </c>
      <c r="AJ271" s="28">
        <f t="shared" si="108"/>
        <v>3027.645</v>
      </c>
      <c r="AK271" s="30">
        <f>'Report Inputs'!$F$2</f>
        <v>55.9</v>
      </c>
      <c r="AL271" s="28">
        <f>'Report Inputs'!$E$2</f>
        <v>1080</v>
      </c>
      <c r="AM271" s="28">
        <f t="shared" si="107"/>
        <v>65.328999999999994</v>
      </c>
      <c r="AN271" s="26" t="s">
        <v>744</v>
      </c>
      <c r="AS271" s="26" t="s">
        <v>76</v>
      </c>
      <c r="AT271" s="26" t="s">
        <v>77</v>
      </c>
      <c r="AU271" s="26" t="s">
        <v>78</v>
      </c>
      <c r="AV271" s="31">
        <f t="shared" ca="1" si="99"/>
        <v>42376.365370833337</v>
      </c>
    </row>
    <row r="272" spans="1:48">
      <c r="A272" s="26">
        <v>7</v>
      </c>
      <c r="B272" s="26">
        <f>MONTH('Report Inputs'!$B$2)</f>
        <v>11</v>
      </c>
      <c r="C272" s="26">
        <f>YEAR('Report Inputs'!$B$2)</f>
        <v>2015</v>
      </c>
      <c r="D272" s="26">
        <v>66571</v>
      </c>
      <c r="F272" s="26" t="s">
        <v>65</v>
      </c>
      <c r="G272" s="26" t="s">
        <v>66</v>
      </c>
      <c r="H272" s="26" t="s">
        <v>67</v>
      </c>
      <c r="I272" s="26" t="s">
        <v>68</v>
      </c>
      <c r="J272" s="26" t="s">
        <v>69</v>
      </c>
      <c r="K272" s="26">
        <v>713</v>
      </c>
      <c r="L272" s="26" t="s">
        <v>70</v>
      </c>
      <c r="M272" s="26">
        <v>713</v>
      </c>
      <c r="N272" s="26" t="s">
        <v>71</v>
      </c>
      <c r="O272" s="26" t="s">
        <v>72</v>
      </c>
      <c r="P272" s="26">
        <v>45</v>
      </c>
      <c r="Q272" s="27">
        <v>18126</v>
      </c>
      <c r="R272" s="26">
        <v>0</v>
      </c>
      <c r="S272" s="26" t="s">
        <v>887</v>
      </c>
      <c r="T272" s="26" t="s">
        <v>80</v>
      </c>
      <c r="U272" s="26" t="s">
        <v>1025</v>
      </c>
      <c r="V272" s="26">
        <v>0</v>
      </c>
      <c r="W272" s="26" t="s">
        <v>94</v>
      </c>
      <c r="X272" s="26">
        <v>8</v>
      </c>
      <c r="Y272" s="26" t="s">
        <v>74</v>
      </c>
      <c r="Z272" s="26" t="s">
        <v>75</v>
      </c>
      <c r="AA272" s="28">
        <f t="shared" si="103"/>
        <v>0</v>
      </c>
      <c r="AB272" s="28">
        <f t="shared" si="104"/>
        <v>0</v>
      </c>
      <c r="AC272" s="28">
        <f t="shared" si="105"/>
        <v>0</v>
      </c>
      <c r="AD272" s="28">
        <f t="shared" si="89"/>
        <v>0</v>
      </c>
      <c r="AE272" s="28">
        <f t="shared" si="106"/>
        <v>0</v>
      </c>
      <c r="AF272" s="28">
        <f t="shared" si="95"/>
        <v>0</v>
      </c>
      <c r="AG272" s="28">
        <f t="shared" si="102"/>
        <v>0</v>
      </c>
      <c r="AH272" s="28">
        <f t="shared" si="98"/>
        <v>0</v>
      </c>
      <c r="AI272" s="28">
        <f t="shared" si="96"/>
        <v>0</v>
      </c>
      <c r="AJ272" s="28">
        <f t="shared" si="108"/>
        <v>0</v>
      </c>
      <c r="AM272" s="28">
        <f t="shared" si="107"/>
        <v>0</v>
      </c>
      <c r="AN272" s="26" t="s">
        <v>744</v>
      </c>
      <c r="AS272" s="26" t="s">
        <v>76</v>
      </c>
      <c r="AT272" s="26" t="s">
        <v>77</v>
      </c>
      <c r="AU272" s="26" t="s">
        <v>78</v>
      </c>
      <c r="AV272" s="31">
        <f t="shared" ca="1" si="99"/>
        <v>42376.365371064814</v>
      </c>
    </row>
    <row r="273" spans="1:48">
      <c r="A273" s="26">
        <v>7</v>
      </c>
      <c r="B273" s="26">
        <f>MONTH('Report Inputs'!$B$2)</f>
        <v>11</v>
      </c>
      <c r="C273" s="26">
        <f>YEAR('Report Inputs'!$B$2)</f>
        <v>2015</v>
      </c>
      <c r="D273" s="26">
        <v>66571</v>
      </c>
      <c r="F273" s="26" t="s">
        <v>65</v>
      </c>
      <c r="G273" s="26" t="s">
        <v>66</v>
      </c>
      <c r="H273" s="26" t="s">
        <v>67</v>
      </c>
      <c r="I273" s="26" t="s">
        <v>68</v>
      </c>
      <c r="J273" s="26" t="s">
        <v>69</v>
      </c>
      <c r="K273" s="26">
        <v>713</v>
      </c>
      <c r="L273" s="26" t="s">
        <v>70</v>
      </c>
      <c r="M273" s="26">
        <v>713</v>
      </c>
      <c r="N273" s="26" t="s">
        <v>71</v>
      </c>
      <c r="O273" s="26" t="s">
        <v>72</v>
      </c>
      <c r="P273" s="26">
        <v>45</v>
      </c>
      <c r="Q273" s="27">
        <v>18127</v>
      </c>
      <c r="R273" s="26">
        <v>0</v>
      </c>
      <c r="S273" s="26" t="s">
        <v>849</v>
      </c>
      <c r="T273" s="26" t="s">
        <v>80</v>
      </c>
      <c r="U273" s="26" t="str">
        <f t="shared" si="101"/>
        <v>PR</v>
      </c>
      <c r="V273" s="26">
        <f t="shared" si="100"/>
        <v>30</v>
      </c>
      <c r="W273" s="26" t="s">
        <v>94</v>
      </c>
      <c r="X273" s="26">
        <v>8</v>
      </c>
      <c r="Y273" s="26" t="s">
        <v>74</v>
      </c>
      <c r="Z273" s="26" t="s">
        <v>75</v>
      </c>
      <c r="AA273" s="28">
        <f t="shared" si="103"/>
        <v>0.74</v>
      </c>
      <c r="AB273" s="28">
        <f t="shared" si="104"/>
        <v>0.75600000000000001</v>
      </c>
      <c r="AC273" s="28">
        <f t="shared" si="105"/>
        <v>1.236</v>
      </c>
      <c r="AD273" s="28">
        <f t="shared" si="89"/>
        <v>-1</v>
      </c>
      <c r="AE273" s="28">
        <f t="shared" si="106"/>
        <v>0.26</v>
      </c>
      <c r="AF273" s="28">
        <f t="shared" si="95"/>
        <v>4671.47</v>
      </c>
      <c r="AG273" s="28">
        <f t="shared" si="102"/>
        <v>0</v>
      </c>
      <c r="AH273" s="28">
        <f t="shared" si="98"/>
        <v>329.072</v>
      </c>
      <c r="AI273" s="28">
        <f t="shared" si="96"/>
        <v>0</v>
      </c>
      <c r="AJ273" s="28">
        <f t="shared" si="108"/>
        <v>4342.3980000000001</v>
      </c>
      <c r="AK273" s="30">
        <f>'Report Inputs'!$F$2</f>
        <v>55.9</v>
      </c>
      <c r="AL273" s="28">
        <f>'Report Inputs'!$E$2</f>
        <v>1080</v>
      </c>
      <c r="AM273" s="28">
        <f t="shared" si="107"/>
        <v>133.345</v>
      </c>
      <c r="AN273" s="26" t="s">
        <v>744</v>
      </c>
      <c r="AS273" s="26" t="s">
        <v>76</v>
      </c>
      <c r="AT273" s="26" t="s">
        <v>77</v>
      </c>
      <c r="AU273" s="26" t="s">
        <v>78</v>
      </c>
      <c r="AV273" s="31">
        <f t="shared" ca="1" si="99"/>
        <v>42376.365371064814</v>
      </c>
    </row>
    <row r="274" spans="1:48">
      <c r="A274" s="26">
        <v>7</v>
      </c>
      <c r="B274" s="26">
        <f>MONTH('Report Inputs'!$B$2)</f>
        <v>11</v>
      </c>
      <c r="C274" s="26">
        <f>YEAR('Report Inputs'!$B$2)</f>
        <v>2015</v>
      </c>
      <c r="D274" s="26">
        <v>66571</v>
      </c>
      <c r="F274" s="26" t="s">
        <v>65</v>
      </c>
      <c r="G274" s="26" t="s">
        <v>66</v>
      </c>
      <c r="H274" s="26" t="s">
        <v>67</v>
      </c>
      <c r="I274" s="26" t="s">
        <v>68</v>
      </c>
      <c r="J274" s="26" t="s">
        <v>69</v>
      </c>
      <c r="K274" s="26">
        <v>713</v>
      </c>
      <c r="L274" s="26" t="s">
        <v>70</v>
      </c>
      <c r="M274" s="26">
        <v>713</v>
      </c>
      <c r="N274" s="26" t="s">
        <v>71</v>
      </c>
      <c r="O274" s="26" t="s">
        <v>72</v>
      </c>
      <c r="P274" s="26">
        <v>45</v>
      </c>
      <c r="Q274" s="27">
        <v>18128</v>
      </c>
      <c r="R274" s="26">
        <v>0</v>
      </c>
      <c r="S274" s="26" t="s">
        <v>873</v>
      </c>
      <c r="T274" s="26" t="s">
        <v>80</v>
      </c>
      <c r="U274" s="26" t="str">
        <f t="shared" si="101"/>
        <v>PR</v>
      </c>
      <c r="V274" s="26">
        <f t="shared" si="100"/>
        <v>30</v>
      </c>
      <c r="W274" s="26" t="s">
        <v>94</v>
      </c>
      <c r="X274" s="26">
        <v>8</v>
      </c>
      <c r="Y274" s="26" t="s">
        <v>74</v>
      </c>
      <c r="Z274" s="26" t="s">
        <v>75</v>
      </c>
      <c r="AA274" s="28">
        <f t="shared" si="103"/>
        <v>0.56499999999999995</v>
      </c>
      <c r="AB274" s="28">
        <f t="shared" si="104"/>
        <v>0.54900000000000004</v>
      </c>
      <c r="AC274" s="28">
        <f t="shared" si="105"/>
        <v>0.92400000000000004</v>
      </c>
      <c r="AD274" s="28">
        <f t="shared" si="89"/>
        <v>-1</v>
      </c>
      <c r="AE274" s="28">
        <f t="shared" si="106"/>
        <v>0.19</v>
      </c>
      <c r="AF274" s="28">
        <f t="shared" si="95"/>
        <v>3497.9</v>
      </c>
      <c r="AG274" s="28">
        <f t="shared" si="102"/>
        <v>0</v>
      </c>
      <c r="AH274" s="28">
        <f t="shared" si="98"/>
        <v>341.11399999999998</v>
      </c>
      <c r="AI274" s="28">
        <f t="shared" si="96"/>
        <v>0</v>
      </c>
      <c r="AJ274" s="28">
        <f t="shared" si="108"/>
        <v>3156.7860000000001</v>
      </c>
      <c r="AK274" s="30">
        <f>'Report Inputs'!$F$2</f>
        <v>55.9</v>
      </c>
      <c r="AL274" s="28">
        <f>'Report Inputs'!$E$2</f>
        <v>1080</v>
      </c>
      <c r="AM274" s="28">
        <f t="shared" si="107"/>
        <v>96.936999999999998</v>
      </c>
      <c r="AN274" s="26" t="s">
        <v>744</v>
      </c>
      <c r="AS274" s="26" t="s">
        <v>76</v>
      </c>
      <c r="AT274" s="26" t="s">
        <v>77</v>
      </c>
      <c r="AU274" s="26" t="s">
        <v>78</v>
      </c>
      <c r="AV274" s="31">
        <f t="shared" ca="1" si="99"/>
        <v>42376.365371064814</v>
      </c>
    </row>
    <row r="275" spans="1:48">
      <c r="A275" s="26">
        <v>7</v>
      </c>
      <c r="B275" s="26">
        <f>MONTH('Report Inputs'!$B$2)</f>
        <v>11</v>
      </c>
      <c r="C275" s="26">
        <f>YEAR('Report Inputs'!$B$2)</f>
        <v>2015</v>
      </c>
      <c r="D275" s="26">
        <v>66571</v>
      </c>
      <c r="F275" s="26" t="s">
        <v>65</v>
      </c>
      <c r="G275" s="26" t="s">
        <v>66</v>
      </c>
      <c r="H275" s="26" t="s">
        <v>67</v>
      </c>
      <c r="I275" s="26" t="s">
        <v>68</v>
      </c>
      <c r="J275" s="26" t="s">
        <v>69</v>
      </c>
      <c r="K275" s="26">
        <v>713</v>
      </c>
      <c r="L275" s="26" t="s">
        <v>70</v>
      </c>
      <c r="M275" s="26">
        <v>713</v>
      </c>
      <c r="N275" s="26" t="s">
        <v>71</v>
      </c>
      <c r="O275" s="26" t="s">
        <v>72</v>
      </c>
      <c r="P275" s="26">
        <v>45</v>
      </c>
      <c r="Q275" s="27">
        <v>18129</v>
      </c>
      <c r="R275" s="26">
        <v>0</v>
      </c>
      <c r="S275" s="26" t="s">
        <v>888</v>
      </c>
      <c r="T275" s="26" t="s">
        <v>80</v>
      </c>
      <c r="U275" s="26" t="str">
        <f t="shared" si="101"/>
        <v>PR</v>
      </c>
      <c r="V275" s="26">
        <f t="shared" si="100"/>
        <v>30</v>
      </c>
      <c r="W275" s="26" t="s">
        <v>94</v>
      </c>
      <c r="X275" s="26">
        <v>8</v>
      </c>
      <c r="Y275" s="26" t="s">
        <v>74</v>
      </c>
      <c r="Z275" s="26" t="s">
        <v>75</v>
      </c>
      <c r="AA275" s="28">
        <f t="shared" si="103"/>
        <v>0.73899999999999999</v>
      </c>
      <c r="AB275" s="28">
        <f t="shared" si="104"/>
        <v>0.753</v>
      </c>
      <c r="AC275" s="28">
        <f t="shared" si="105"/>
        <v>1.234</v>
      </c>
      <c r="AD275" s="28">
        <f t="shared" si="89"/>
        <v>-1</v>
      </c>
      <c r="AE275" s="28">
        <f t="shared" si="106"/>
        <v>0.25800000000000001</v>
      </c>
      <c r="AF275" s="28">
        <f t="shared" si="95"/>
        <v>4717.8</v>
      </c>
      <c r="AG275" s="28">
        <f t="shared" si="102"/>
        <v>0</v>
      </c>
      <c r="AH275" s="28">
        <f t="shared" si="98"/>
        <v>394.05500000000001</v>
      </c>
      <c r="AI275" s="28">
        <f t="shared" si="96"/>
        <v>0</v>
      </c>
      <c r="AJ275" s="28">
        <f t="shared" si="108"/>
        <v>4323.7449999999999</v>
      </c>
      <c r="AK275" s="30">
        <f>'Report Inputs'!$F$2</f>
        <v>55.9</v>
      </c>
      <c r="AL275" s="28">
        <f>'Report Inputs'!$E$2</f>
        <v>1080</v>
      </c>
      <c r="AM275" s="28">
        <f t="shared" si="107"/>
        <v>132.773</v>
      </c>
      <c r="AN275" s="26" t="s">
        <v>744</v>
      </c>
      <c r="AS275" s="26" t="s">
        <v>76</v>
      </c>
      <c r="AT275" s="26" t="s">
        <v>77</v>
      </c>
      <c r="AU275" s="26" t="s">
        <v>78</v>
      </c>
      <c r="AV275" s="31">
        <f t="shared" ca="1" si="99"/>
        <v>42376.365371064814</v>
      </c>
    </row>
    <row r="276" spans="1:48">
      <c r="A276" s="26">
        <v>7</v>
      </c>
      <c r="B276" s="26">
        <f>MONTH('Report Inputs'!$B$2)</f>
        <v>11</v>
      </c>
      <c r="C276" s="26">
        <f>YEAR('Report Inputs'!$B$2)</f>
        <v>2015</v>
      </c>
      <c r="D276" s="26">
        <v>66571</v>
      </c>
      <c r="F276" s="26" t="s">
        <v>65</v>
      </c>
      <c r="G276" s="26" t="s">
        <v>66</v>
      </c>
      <c r="H276" s="26" t="s">
        <v>67</v>
      </c>
      <c r="I276" s="26" t="s">
        <v>68</v>
      </c>
      <c r="J276" s="26" t="s">
        <v>69</v>
      </c>
      <c r="K276" s="26">
        <v>713</v>
      </c>
      <c r="L276" s="26" t="s">
        <v>70</v>
      </c>
      <c r="M276" s="26">
        <v>713</v>
      </c>
      <c r="N276" s="26" t="s">
        <v>71</v>
      </c>
      <c r="O276" s="26" t="s">
        <v>72</v>
      </c>
      <c r="P276" s="26">
        <v>45</v>
      </c>
      <c r="Q276" s="27">
        <v>18130</v>
      </c>
      <c r="R276" s="26">
        <v>0</v>
      </c>
      <c r="S276" s="26" t="s">
        <v>850</v>
      </c>
      <c r="T276" s="26" t="s">
        <v>80</v>
      </c>
      <c r="U276" s="26" t="str">
        <f t="shared" si="101"/>
        <v>PR</v>
      </c>
      <c r="V276" s="26">
        <f t="shared" si="100"/>
        <v>30</v>
      </c>
      <c r="W276" s="26" t="s">
        <v>94</v>
      </c>
      <c r="X276" s="26">
        <v>8</v>
      </c>
      <c r="Y276" s="26" t="s">
        <v>74</v>
      </c>
      <c r="Z276" s="26" t="s">
        <v>75</v>
      </c>
      <c r="AA276" s="28">
        <f t="shared" si="103"/>
        <v>0.86799999999999999</v>
      </c>
      <c r="AB276" s="28">
        <f t="shared" si="104"/>
        <v>0.88400000000000001</v>
      </c>
      <c r="AC276" s="28">
        <f t="shared" si="105"/>
        <v>1.4490000000000001</v>
      </c>
      <c r="AD276" s="28">
        <f t="shared" si="89"/>
        <v>-1</v>
      </c>
      <c r="AE276" s="28">
        <f t="shared" si="106"/>
        <v>0.30299999999999999</v>
      </c>
      <c r="AF276" s="28">
        <f t="shared" si="95"/>
        <v>5523.17</v>
      </c>
      <c r="AG276" s="28">
        <f t="shared" si="102"/>
        <v>0</v>
      </c>
      <c r="AH276" s="28">
        <v>442</v>
      </c>
      <c r="AI276" s="28">
        <f t="shared" si="96"/>
        <v>0</v>
      </c>
      <c r="AJ276" s="28">
        <f t="shared" si="108"/>
        <v>5080.6080000000002</v>
      </c>
      <c r="AK276" s="30">
        <f>'Report Inputs'!$F$2</f>
        <v>55.9</v>
      </c>
      <c r="AL276" s="28">
        <f>'Report Inputs'!$E$2</f>
        <v>1080</v>
      </c>
      <c r="AM276" s="28">
        <f t="shared" si="107"/>
        <v>156.01300000000001</v>
      </c>
      <c r="AN276" s="26" t="s">
        <v>744</v>
      </c>
      <c r="AS276" s="26" t="s">
        <v>76</v>
      </c>
      <c r="AT276" s="26" t="s">
        <v>77</v>
      </c>
      <c r="AU276" s="26" t="s">
        <v>78</v>
      </c>
      <c r="AV276" s="31">
        <f t="shared" ca="1" si="99"/>
        <v>42376.365371064814</v>
      </c>
    </row>
    <row r="277" spans="1:48">
      <c r="A277" s="26">
        <v>7</v>
      </c>
      <c r="B277" s="26">
        <f>MONTH('Report Inputs'!$B$2)</f>
        <v>11</v>
      </c>
      <c r="C277" s="26">
        <f>YEAR('Report Inputs'!$B$2)</f>
        <v>2015</v>
      </c>
      <c r="D277" s="26">
        <v>66571</v>
      </c>
      <c r="F277" s="26" t="s">
        <v>65</v>
      </c>
      <c r="G277" s="26" t="s">
        <v>66</v>
      </c>
      <c r="H277" s="26" t="s">
        <v>67</v>
      </c>
      <c r="I277" s="26" t="s">
        <v>68</v>
      </c>
      <c r="J277" s="26" t="s">
        <v>69</v>
      </c>
      <c r="K277" s="26">
        <v>713</v>
      </c>
      <c r="L277" s="26" t="s">
        <v>70</v>
      </c>
      <c r="M277" s="26">
        <v>713</v>
      </c>
      <c r="N277" s="26" t="s">
        <v>71</v>
      </c>
      <c r="O277" s="26" t="s">
        <v>72</v>
      </c>
      <c r="P277" s="26">
        <v>45</v>
      </c>
      <c r="Q277" s="27">
        <v>18131</v>
      </c>
      <c r="R277" s="26">
        <v>0</v>
      </c>
      <c r="S277" s="26" t="s">
        <v>874</v>
      </c>
      <c r="T277" s="26" t="s">
        <v>80</v>
      </c>
      <c r="U277" s="26" t="str">
        <f t="shared" si="101"/>
        <v>PR</v>
      </c>
      <c r="V277" s="26">
        <f t="shared" si="100"/>
        <v>30</v>
      </c>
      <c r="W277" s="26" t="s">
        <v>94</v>
      </c>
      <c r="X277" s="26">
        <v>8</v>
      </c>
      <c r="Y277" s="26" t="s">
        <v>74</v>
      </c>
      <c r="Z277" s="26" t="s">
        <v>75</v>
      </c>
      <c r="AA277" s="28">
        <f t="shared" si="103"/>
        <v>0.30299999999999999</v>
      </c>
      <c r="AB277" s="28">
        <f t="shared" si="104"/>
        <v>0.29099999999999998</v>
      </c>
      <c r="AC277" s="28">
        <f t="shared" si="105"/>
        <v>0.49399999999999999</v>
      </c>
      <c r="AD277" s="28">
        <f t="shared" si="89"/>
        <v>0</v>
      </c>
      <c r="AE277" s="28">
        <f t="shared" si="106"/>
        <v>0.1</v>
      </c>
      <c r="AF277" s="28">
        <f t="shared" si="95"/>
        <v>1947</v>
      </c>
      <c r="AG277" s="28">
        <f t="shared" si="102"/>
        <v>0</v>
      </c>
      <c r="AH277" s="28">
        <f t="shared" si="98"/>
        <v>273.80799999999999</v>
      </c>
      <c r="AI277" s="28">
        <f t="shared" si="96"/>
        <v>0</v>
      </c>
      <c r="AJ277" s="28">
        <f t="shared" si="108"/>
        <v>1673.192</v>
      </c>
      <c r="AL277" s="28">
        <f>'Report Inputs'!$E$2</f>
        <v>1080</v>
      </c>
      <c r="AM277" s="28">
        <f t="shared" si="107"/>
        <v>51.38</v>
      </c>
      <c r="AN277" s="26" t="s">
        <v>744</v>
      </c>
      <c r="AS277" s="26" t="s">
        <v>76</v>
      </c>
      <c r="AT277" s="26" t="s">
        <v>77</v>
      </c>
      <c r="AU277" s="26" t="s">
        <v>78</v>
      </c>
      <c r="AV277" s="31">
        <f t="shared" ca="1" si="99"/>
        <v>42376.365371064814</v>
      </c>
    </row>
    <row r="278" spans="1:48">
      <c r="A278" s="26">
        <v>7</v>
      </c>
      <c r="B278" s="26">
        <f>MONTH('Report Inputs'!$B$2)</f>
        <v>11</v>
      </c>
      <c r="C278" s="26">
        <f>YEAR('Report Inputs'!$B$2)</f>
        <v>2015</v>
      </c>
      <c r="D278" s="26">
        <v>66571</v>
      </c>
      <c r="F278" s="26" t="s">
        <v>65</v>
      </c>
      <c r="G278" s="26" t="s">
        <v>66</v>
      </c>
      <c r="H278" s="26" t="s">
        <v>67</v>
      </c>
      <c r="I278" s="26" t="s">
        <v>68</v>
      </c>
      <c r="J278" s="26" t="s">
        <v>69</v>
      </c>
      <c r="K278" s="26">
        <v>713</v>
      </c>
      <c r="L278" s="26" t="s">
        <v>70</v>
      </c>
      <c r="M278" s="26">
        <v>713</v>
      </c>
      <c r="N278" s="26" t="s">
        <v>71</v>
      </c>
      <c r="O278" s="26" t="s">
        <v>72</v>
      </c>
      <c r="P278" s="26">
        <v>45</v>
      </c>
      <c r="Q278" s="27">
        <v>18132</v>
      </c>
      <c r="R278" s="26">
        <v>0</v>
      </c>
      <c r="S278" s="26" t="s">
        <v>904</v>
      </c>
      <c r="T278" s="26" t="s">
        <v>80</v>
      </c>
      <c r="U278" s="26" t="str">
        <f t="shared" si="101"/>
        <v>PR</v>
      </c>
      <c r="V278" s="26">
        <f t="shared" si="100"/>
        <v>30</v>
      </c>
      <c r="W278" s="26" t="s">
        <v>90</v>
      </c>
      <c r="X278" s="26">
        <v>9</v>
      </c>
      <c r="Y278" s="26" t="s">
        <v>74</v>
      </c>
      <c r="Z278" s="26" t="s">
        <v>75</v>
      </c>
      <c r="AA278" s="28">
        <f t="shared" si="103"/>
        <v>0.62</v>
      </c>
      <c r="AB278" s="28">
        <f t="shared" si="104"/>
        <v>0.84899999999999998</v>
      </c>
      <c r="AC278" s="28">
        <f t="shared" si="105"/>
        <v>1.262</v>
      </c>
      <c r="AD278" s="28">
        <f t="shared" si="89"/>
        <v>-1</v>
      </c>
      <c r="AE278" s="28">
        <f t="shared" si="106"/>
        <v>0.20699999999999999</v>
      </c>
      <c r="AF278" s="28">
        <f t="shared" si="95"/>
        <v>3644.03</v>
      </c>
      <c r="AG278" s="28">
        <f t="shared" si="102"/>
        <v>0.06</v>
      </c>
      <c r="AH278" s="28">
        <f t="shared" si="98"/>
        <v>361.00799999999998</v>
      </c>
      <c r="AI278" s="28">
        <f t="shared" si="96"/>
        <v>0</v>
      </c>
      <c r="AJ278" s="28">
        <f t="shared" si="108"/>
        <v>3282.962</v>
      </c>
      <c r="AK278" s="30">
        <f>'Report Inputs'!$F$2</f>
        <v>55.9</v>
      </c>
      <c r="AL278" s="28">
        <f>'Report Inputs'!$E$2</f>
        <v>1080</v>
      </c>
      <c r="AM278" s="28">
        <f t="shared" si="107"/>
        <v>162.09100000000001</v>
      </c>
      <c r="AN278" s="26" t="s">
        <v>744</v>
      </c>
      <c r="AS278" s="26" t="s">
        <v>76</v>
      </c>
      <c r="AT278" s="26" t="s">
        <v>77</v>
      </c>
      <c r="AU278" s="26" t="s">
        <v>78</v>
      </c>
      <c r="AV278" s="31">
        <f t="shared" ca="1" si="99"/>
        <v>42376.365371064814</v>
      </c>
    </row>
    <row r="279" spans="1:48">
      <c r="A279" s="26">
        <v>7</v>
      </c>
      <c r="B279" s="26">
        <f>MONTH('Report Inputs'!$B$2)</f>
        <v>11</v>
      </c>
      <c r="C279" s="26">
        <f>YEAR('Report Inputs'!$B$2)</f>
        <v>2015</v>
      </c>
      <c r="D279" s="26">
        <v>66571</v>
      </c>
      <c r="F279" s="26" t="s">
        <v>65</v>
      </c>
      <c r="G279" s="26" t="s">
        <v>66</v>
      </c>
      <c r="H279" s="26" t="s">
        <v>67</v>
      </c>
      <c r="I279" s="26" t="s">
        <v>68</v>
      </c>
      <c r="J279" s="26" t="s">
        <v>69</v>
      </c>
      <c r="K279" s="26">
        <v>713</v>
      </c>
      <c r="L279" s="26" t="s">
        <v>70</v>
      </c>
      <c r="M279" s="26">
        <v>713</v>
      </c>
      <c r="N279" s="26" t="s">
        <v>71</v>
      </c>
      <c r="O279" s="26" t="s">
        <v>72</v>
      </c>
      <c r="P279" s="26">
        <v>45</v>
      </c>
      <c r="Q279" s="27">
        <v>18133</v>
      </c>
      <c r="R279" s="26">
        <v>0</v>
      </c>
      <c r="S279" s="26" t="s">
        <v>890</v>
      </c>
      <c r="T279" s="26" t="s">
        <v>80</v>
      </c>
      <c r="U279" s="26" t="str">
        <f t="shared" si="101"/>
        <v>PR</v>
      </c>
      <c r="V279" s="26">
        <f t="shared" si="100"/>
        <v>30</v>
      </c>
      <c r="W279" s="26" t="s">
        <v>90</v>
      </c>
      <c r="X279" s="26">
        <v>9</v>
      </c>
      <c r="Y279" s="26" t="s">
        <v>74</v>
      </c>
      <c r="Z279" s="26" t="s">
        <v>75</v>
      </c>
      <c r="AA279" s="28">
        <f t="shared" si="103"/>
        <v>1.252</v>
      </c>
      <c r="AB279" s="28">
        <f t="shared" si="104"/>
        <v>1.859</v>
      </c>
      <c r="AC279" s="28">
        <f t="shared" si="105"/>
        <v>2.6640000000000001</v>
      </c>
      <c r="AD279" s="28">
        <f t="shared" si="89"/>
        <v>0</v>
      </c>
      <c r="AE279" s="28">
        <f t="shared" si="106"/>
        <v>0.44700000000000001</v>
      </c>
      <c r="AF279" s="28">
        <f t="shared" si="95"/>
        <v>7723.49</v>
      </c>
      <c r="AG279" s="28">
        <f t="shared" si="102"/>
        <v>0.12</v>
      </c>
      <c r="AH279" s="28">
        <f t="shared" si="98"/>
        <v>538.04600000000005</v>
      </c>
      <c r="AI279" s="28">
        <f t="shared" si="96"/>
        <v>0</v>
      </c>
      <c r="AJ279" s="28">
        <f t="shared" si="108"/>
        <v>7185.3239999999996</v>
      </c>
      <c r="AK279" s="30">
        <f>'Report Inputs'!$F$2</f>
        <v>55.9</v>
      </c>
      <c r="AL279" s="28">
        <f>'Report Inputs'!$E$2</f>
        <v>1080</v>
      </c>
      <c r="AM279" s="28">
        <f t="shared" si="107"/>
        <v>354.76499999999999</v>
      </c>
      <c r="AN279" s="26" t="s">
        <v>744</v>
      </c>
      <c r="AS279" s="26" t="s">
        <v>76</v>
      </c>
      <c r="AT279" s="26" t="s">
        <v>77</v>
      </c>
      <c r="AU279" s="26" t="s">
        <v>78</v>
      </c>
      <c r="AV279" s="31">
        <f t="shared" ca="1" si="99"/>
        <v>42376.365371064814</v>
      </c>
    </row>
    <row r="280" spans="1:48">
      <c r="A280" s="26">
        <v>7</v>
      </c>
      <c r="B280" s="26">
        <f>MONTH('Report Inputs'!$B$2)</f>
        <v>11</v>
      </c>
      <c r="C280" s="26">
        <f>YEAR('Report Inputs'!$B$2)</f>
        <v>2015</v>
      </c>
      <c r="D280" s="26">
        <v>66571</v>
      </c>
      <c r="F280" s="26" t="s">
        <v>65</v>
      </c>
      <c r="G280" s="26" t="s">
        <v>66</v>
      </c>
      <c r="H280" s="26" t="s">
        <v>67</v>
      </c>
      <c r="I280" s="26" t="s">
        <v>68</v>
      </c>
      <c r="J280" s="26" t="s">
        <v>69</v>
      </c>
      <c r="K280" s="26">
        <v>713</v>
      </c>
      <c r="L280" s="26" t="s">
        <v>70</v>
      </c>
      <c r="M280" s="26">
        <v>713</v>
      </c>
      <c r="N280" s="26" t="s">
        <v>71</v>
      </c>
      <c r="O280" s="26" t="s">
        <v>72</v>
      </c>
      <c r="P280" s="26">
        <v>45</v>
      </c>
      <c r="Q280" s="27">
        <v>18134</v>
      </c>
      <c r="R280" s="26">
        <v>0</v>
      </c>
      <c r="S280" s="26" t="s">
        <v>895</v>
      </c>
      <c r="T280" s="26" t="s">
        <v>80</v>
      </c>
      <c r="U280" s="26" t="str">
        <f t="shared" si="101"/>
        <v>PR</v>
      </c>
      <c r="V280" s="26">
        <f t="shared" si="100"/>
        <v>30</v>
      </c>
      <c r="W280" s="26" t="s">
        <v>90</v>
      </c>
      <c r="X280" s="26">
        <v>9</v>
      </c>
      <c r="Y280" s="26" t="s">
        <v>74</v>
      </c>
      <c r="Z280" s="26" t="s">
        <v>75</v>
      </c>
      <c r="AA280" s="28">
        <f t="shared" si="103"/>
        <v>0.64700000000000002</v>
      </c>
      <c r="AB280" s="28">
        <f t="shared" si="104"/>
        <v>0.90700000000000003</v>
      </c>
      <c r="AC280" s="28">
        <f t="shared" si="105"/>
        <v>1.3340000000000001</v>
      </c>
      <c r="AD280" s="28">
        <f t="shared" si="89"/>
        <v>-1</v>
      </c>
      <c r="AE280" s="28">
        <f t="shared" si="106"/>
        <v>0.22</v>
      </c>
      <c r="AF280" s="28">
        <f t="shared" si="95"/>
        <v>3878.53</v>
      </c>
      <c r="AG280" s="28">
        <f t="shared" si="102"/>
        <v>0.06</v>
      </c>
      <c r="AH280" s="28">
        <v>372</v>
      </c>
      <c r="AI280" s="28">
        <f t="shared" si="96"/>
        <v>0</v>
      </c>
      <c r="AJ280" s="28">
        <f t="shared" si="108"/>
        <v>3507.2849999999999</v>
      </c>
      <c r="AK280" s="30">
        <f>'Report Inputs'!$F$2</f>
        <v>55.9</v>
      </c>
      <c r="AL280" s="28">
        <f>'Report Inputs'!$E$2</f>
        <v>1080</v>
      </c>
      <c r="AM280" s="28">
        <f t="shared" si="107"/>
        <v>173.166</v>
      </c>
      <c r="AN280" s="26" t="s">
        <v>744</v>
      </c>
      <c r="AS280" s="26" t="s">
        <v>76</v>
      </c>
      <c r="AT280" s="26" t="s">
        <v>77</v>
      </c>
      <c r="AU280" s="26" t="s">
        <v>78</v>
      </c>
      <c r="AV280" s="31">
        <f t="shared" ca="1" si="99"/>
        <v>42376.365371064814</v>
      </c>
    </row>
    <row r="281" spans="1:48">
      <c r="A281" s="26">
        <v>7</v>
      </c>
      <c r="B281" s="26">
        <f>MONTH('Report Inputs'!$B$2)</f>
        <v>11</v>
      </c>
      <c r="C281" s="26">
        <f>YEAR('Report Inputs'!$B$2)</f>
        <v>2015</v>
      </c>
      <c r="D281" s="26">
        <v>66571</v>
      </c>
      <c r="F281" s="26" t="s">
        <v>65</v>
      </c>
      <c r="G281" s="26" t="s">
        <v>66</v>
      </c>
      <c r="H281" s="26" t="s">
        <v>67</v>
      </c>
      <c r="I281" s="26" t="s">
        <v>68</v>
      </c>
      <c r="J281" s="26" t="s">
        <v>69</v>
      </c>
      <c r="K281" s="26">
        <v>713</v>
      </c>
      <c r="L281" s="26" t="s">
        <v>70</v>
      </c>
      <c r="M281" s="26">
        <v>713</v>
      </c>
      <c r="N281" s="26" t="s">
        <v>71</v>
      </c>
      <c r="O281" s="26" t="s">
        <v>72</v>
      </c>
      <c r="P281" s="26">
        <v>45</v>
      </c>
      <c r="Q281" s="27">
        <v>18135</v>
      </c>
      <c r="R281" s="26">
        <v>0</v>
      </c>
      <c r="S281" s="26" t="s">
        <v>900</v>
      </c>
      <c r="T281" s="26" t="s">
        <v>80</v>
      </c>
      <c r="U281" s="26" t="str">
        <f t="shared" si="101"/>
        <v>PR</v>
      </c>
      <c r="V281" s="26">
        <f t="shared" si="100"/>
        <v>30</v>
      </c>
      <c r="W281" s="26" t="s">
        <v>90</v>
      </c>
      <c r="X281" s="26">
        <v>9</v>
      </c>
      <c r="Y281" s="26" t="s">
        <v>74</v>
      </c>
      <c r="Z281" s="26" t="s">
        <v>75</v>
      </c>
      <c r="AA281" s="28">
        <f t="shared" si="103"/>
        <v>0.874</v>
      </c>
      <c r="AB281" s="28">
        <f t="shared" si="104"/>
        <v>1.2</v>
      </c>
      <c r="AC281" s="28">
        <f t="shared" si="105"/>
        <v>1.782</v>
      </c>
      <c r="AD281" s="28">
        <f t="shared" si="89"/>
        <v>0</v>
      </c>
      <c r="AE281" s="28">
        <f t="shared" si="106"/>
        <v>0.29199999999999998</v>
      </c>
      <c r="AF281" s="28">
        <f t="shared" si="95"/>
        <v>5064.1000000000004</v>
      </c>
      <c r="AG281" s="28">
        <f t="shared" si="102"/>
        <v>0.08</v>
      </c>
      <c r="AH281" s="28">
        <f t="shared" si="98"/>
        <v>428.71</v>
      </c>
      <c r="AI281" s="28">
        <f t="shared" si="96"/>
        <v>0</v>
      </c>
      <c r="AJ281" s="28">
        <f t="shared" si="108"/>
        <v>4635.3100000000004</v>
      </c>
      <c r="AK281" s="30">
        <f>'Report Inputs'!$F$2</f>
        <v>55.9</v>
      </c>
      <c r="AL281" s="28">
        <f>'Report Inputs'!$E$2</f>
        <v>1080</v>
      </c>
      <c r="AM281" s="28">
        <f t="shared" si="107"/>
        <v>228.86199999999999</v>
      </c>
      <c r="AN281" s="26" t="s">
        <v>744</v>
      </c>
      <c r="AS281" s="26" t="s">
        <v>76</v>
      </c>
      <c r="AT281" s="26" t="s">
        <v>77</v>
      </c>
      <c r="AU281" s="26" t="s">
        <v>78</v>
      </c>
      <c r="AV281" s="31">
        <f t="shared" ca="1" si="99"/>
        <v>42376.365371064814</v>
      </c>
    </row>
    <row r="282" spans="1:48">
      <c r="A282" s="26">
        <v>7</v>
      </c>
      <c r="B282" s="26">
        <f>MONTH('Report Inputs'!$B$2)</f>
        <v>11</v>
      </c>
      <c r="C282" s="26">
        <f>YEAR('Report Inputs'!$B$2)</f>
        <v>2015</v>
      </c>
      <c r="D282" s="26">
        <v>66571</v>
      </c>
      <c r="F282" s="26" t="s">
        <v>65</v>
      </c>
      <c r="G282" s="26" t="s">
        <v>66</v>
      </c>
      <c r="H282" s="26" t="s">
        <v>67</v>
      </c>
      <c r="I282" s="26" t="s">
        <v>68</v>
      </c>
      <c r="J282" s="26" t="s">
        <v>69</v>
      </c>
      <c r="K282" s="26">
        <v>713</v>
      </c>
      <c r="L282" s="26" t="s">
        <v>70</v>
      </c>
      <c r="M282" s="26">
        <v>713</v>
      </c>
      <c r="N282" s="26" t="s">
        <v>71</v>
      </c>
      <c r="O282" s="26" t="s">
        <v>72</v>
      </c>
      <c r="P282" s="26">
        <v>45</v>
      </c>
      <c r="Q282" s="27">
        <v>18136</v>
      </c>
      <c r="R282" s="26">
        <v>0</v>
      </c>
      <c r="S282" s="26" t="s">
        <v>903</v>
      </c>
      <c r="T282" s="26" t="s">
        <v>80</v>
      </c>
      <c r="U282" s="26" t="str">
        <f t="shared" si="101"/>
        <v>PR</v>
      </c>
      <c r="V282" s="26">
        <f t="shared" si="100"/>
        <v>30</v>
      </c>
      <c r="W282" s="26" t="s">
        <v>90</v>
      </c>
      <c r="X282" s="26">
        <v>9</v>
      </c>
      <c r="Y282" s="26" t="s">
        <v>74</v>
      </c>
      <c r="Z282" s="26" t="s">
        <v>75</v>
      </c>
      <c r="AA282" s="28">
        <f t="shared" si="103"/>
        <v>0.80800000000000005</v>
      </c>
      <c r="AB282" s="28">
        <f t="shared" si="104"/>
        <v>1.143</v>
      </c>
      <c r="AC282" s="28">
        <f t="shared" si="105"/>
        <v>1.6739999999999999</v>
      </c>
      <c r="AD282" s="28">
        <f t="shared" si="89"/>
        <v>0</v>
      </c>
      <c r="AE282" s="28">
        <f t="shared" si="106"/>
        <v>0.27700000000000002</v>
      </c>
      <c r="AF282" s="28">
        <f t="shared" si="95"/>
        <v>4828.3500000000004</v>
      </c>
      <c r="AG282" s="28">
        <f t="shared" si="102"/>
        <v>0.08</v>
      </c>
      <c r="AH282" s="28">
        <f t="shared" si="98"/>
        <v>412.40499999999997</v>
      </c>
      <c r="AI282" s="28">
        <f t="shared" si="96"/>
        <v>0</v>
      </c>
      <c r="AJ282" s="28">
        <f t="shared" si="108"/>
        <v>4415.8649999999998</v>
      </c>
      <c r="AK282" s="30">
        <f>'Report Inputs'!$F$2</f>
        <v>55.9</v>
      </c>
      <c r="AL282" s="28">
        <f>'Report Inputs'!$E$2</f>
        <v>1080</v>
      </c>
      <c r="AM282" s="28">
        <f t="shared" si="107"/>
        <v>218.02699999999999</v>
      </c>
      <c r="AN282" s="26" t="s">
        <v>744</v>
      </c>
      <c r="AS282" s="26" t="s">
        <v>76</v>
      </c>
      <c r="AT282" s="26" t="s">
        <v>77</v>
      </c>
      <c r="AU282" s="26" t="s">
        <v>78</v>
      </c>
      <c r="AV282" s="31">
        <f t="shared" ca="1" si="99"/>
        <v>42376.365371064814</v>
      </c>
    </row>
    <row r="283" spans="1:48">
      <c r="A283" s="26">
        <v>7</v>
      </c>
      <c r="B283" s="26">
        <f>MONTH('Report Inputs'!$B$2)</f>
        <v>11</v>
      </c>
      <c r="C283" s="26">
        <f>YEAR('Report Inputs'!$B$2)</f>
        <v>2015</v>
      </c>
      <c r="D283" s="26">
        <v>66571</v>
      </c>
      <c r="F283" s="26" t="s">
        <v>65</v>
      </c>
      <c r="G283" s="26" t="s">
        <v>66</v>
      </c>
      <c r="H283" s="26" t="s">
        <v>67</v>
      </c>
      <c r="I283" s="26" t="s">
        <v>68</v>
      </c>
      <c r="J283" s="26" t="s">
        <v>69</v>
      </c>
      <c r="K283" s="26">
        <v>713</v>
      </c>
      <c r="L283" s="26" t="s">
        <v>70</v>
      </c>
      <c r="M283" s="26">
        <v>713</v>
      </c>
      <c r="N283" s="26" t="s">
        <v>71</v>
      </c>
      <c r="O283" s="26" t="s">
        <v>72</v>
      </c>
      <c r="P283" s="26">
        <v>45</v>
      </c>
      <c r="Q283" s="27">
        <v>18137</v>
      </c>
      <c r="R283" s="26">
        <v>0</v>
      </c>
      <c r="S283" s="26" t="s">
        <v>911</v>
      </c>
      <c r="T283" s="26" t="s">
        <v>80</v>
      </c>
      <c r="U283" s="26" t="str">
        <f t="shared" si="101"/>
        <v>PR</v>
      </c>
      <c r="V283" s="26">
        <f t="shared" si="100"/>
        <v>30</v>
      </c>
      <c r="W283" s="26" t="s">
        <v>90</v>
      </c>
      <c r="X283" s="26">
        <v>9</v>
      </c>
      <c r="Y283" s="26" t="s">
        <v>74</v>
      </c>
      <c r="Z283" s="26" t="s">
        <v>75</v>
      </c>
      <c r="AA283" s="28">
        <f t="shared" si="103"/>
        <v>0.11799999999999999</v>
      </c>
      <c r="AB283" s="28">
        <f t="shared" si="104"/>
        <v>0.17799999999999999</v>
      </c>
      <c r="AC283" s="28">
        <f t="shared" si="105"/>
        <v>0.253</v>
      </c>
      <c r="AD283" s="28">
        <f t="shared" ref="AD283:AD346" si="109">ROUND(AC283,0)+ROUND(AE283,0)-ROUND(AA283,0)-ROUND(AB283,0)</f>
        <v>0</v>
      </c>
      <c r="AE283" s="28">
        <f t="shared" si="106"/>
        <v>4.2999999999999997E-2</v>
      </c>
      <c r="AF283" s="28">
        <f t="shared" si="95"/>
        <v>930.48</v>
      </c>
      <c r="AG283" s="28">
        <f t="shared" si="102"/>
        <v>0.01</v>
      </c>
      <c r="AH283" s="28">
        <f t="shared" si="98"/>
        <v>243.24700000000001</v>
      </c>
      <c r="AI283" s="28">
        <f t="shared" si="96"/>
        <v>0</v>
      </c>
      <c r="AJ283" s="28">
        <f t="shared" si="108"/>
        <v>687.22299999999996</v>
      </c>
      <c r="AL283" s="28">
        <f>'Report Inputs'!$E$2</f>
        <v>1080</v>
      </c>
      <c r="AM283" s="28">
        <f t="shared" si="107"/>
        <v>33.930999999999997</v>
      </c>
      <c r="AN283" s="26" t="s">
        <v>744</v>
      </c>
      <c r="AS283" s="26" t="s">
        <v>76</v>
      </c>
      <c r="AT283" s="26" t="s">
        <v>77</v>
      </c>
      <c r="AU283" s="26" t="s">
        <v>78</v>
      </c>
      <c r="AV283" s="31">
        <f t="shared" ca="1" si="99"/>
        <v>42376.365371064814</v>
      </c>
    </row>
    <row r="284" spans="1:48">
      <c r="A284" s="26">
        <v>7</v>
      </c>
      <c r="B284" s="26">
        <f>MONTH('Report Inputs'!$B$2)</f>
        <v>11</v>
      </c>
      <c r="C284" s="26">
        <f>YEAR('Report Inputs'!$B$2)</f>
        <v>2015</v>
      </c>
      <c r="D284" s="26">
        <v>66571</v>
      </c>
      <c r="F284" s="26" t="s">
        <v>65</v>
      </c>
      <c r="G284" s="26" t="s">
        <v>66</v>
      </c>
      <c r="H284" s="26" t="s">
        <v>67</v>
      </c>
      <c r="I284" s="26" t="s">
        <v>68</v>
      </c>
      <c r="J284" s="26" t="s">
        <v>69</v>
      </c>
      <c r="K284" s="26">
        <v>713</v>
      </c>
      <c r="L284" s="26" t="s">
        <v>70</v>
      </c>
      <c r="M284" s="26">
        <v>713</v>
      </c>
      <c r="N284" s="26" t="s">
        <v>71</v>
      </c>
      <c r="O284" s="26" t="s">
        <v>72</v>
      </c>
      <c r="P284" s="26">
        <v>45</v>
      </c>
      <c r="Q284" s="27">
        <v>18138</v>
      </c>
      <c r="R284" s="26">
        <v>0</v>
      </c>
      <c r="S284" s="26" t="s">
        <v>879</v>
      </c>
      <c r="T284" s="26" t="s">
        <v>80</v>
      </c>
      <c r="U284" s="26" t="str">
        <f t="shared" si="101"/>
        <v>PR</v>
      </c>
      <c r="V284" s="26">
        <f t="shared" si="100"/>
        <v>30</v>
      </c>
      <c r="W284" s="26" t="s">
        <v>90</v>
      </c>
      <c r="X284" s="26">
        <v>9</v>
      </c>
      <c r="Y284" s="26" t="s">
        <v>74</v>
      </c>
      <c r="Z284" s="26" t="s">
        <v>75</v>
      </c>
      <c r="AA284" s="28">
        <f t="shared" si="103"/>
        <v>0.625</v>
      </c>
      <c r="AB284" s="28">
        <f t="shared" si="104"/>
        <v>0.876</v>
      </c>
      <c r="AC284" s="28">
        <f t="shared" si="105"/>
        <v>1.2889999999999999</v>
      </c>
      <c r="AD284" s="28">
        <f t="shared" si="109"/>
        <v>-1</v>
      </c>
      <c r="AE284" s="28">
        <f t="shared" si="106"/>
        <v>0.21199999999999999</v>
      </c>
      <c r="AF284" s="28">
        <f t="shared" si="95"/>
        <v>3820.13</v>
      </c>
      <c r="AG284" s="28">
        <f t="shared" si="102"/>
        <v>0.06</v>
      </c>
      <c r="AH284" s="28">
        <f t="shared" si="98"/>
        <v>435.61200000000002</v>
      </c>
      <c r="AI284" s="28">
        <f t="shared" si="96"/>
        <v>0</v>
      </c>
      <c r="AJ284" s="28">
        <f t="shared" si="108"/>
        <v>3384.4580000000001</v>
      </c>
      <c r="AK284" s="30">
        <f>'Report Inputs'!$F$2</f>
        <v>55.9</v>
      </c>
      <c r="AL284" s="28">
        <f>'Report Inputs'!$E$2</f>
        <v>1080</v>
      </c>
      <c r="AM284" s="28">
        <f t="shared" si="107"/>
        <v>167.102</v>
      </c>
      <c r="AN284" s="26" t="s">
        <v>744</v>
      </c>
      <c r="AS284" s="26" t="s">
        <v>76</v>
      </c>
      <c r="AT284" s="26" t="s">
        <v>77</v>
      </c>
      <c r="AU284" s="26" t="s">
        <v>78</v>
      </c>
      <c r="AV284" s="31">
        <f t="shared" ca="1" si="99"/>
        <v>42376.365371064814</v>
      </c>
    </row>
    <row r="285" spans="1:48">
      <c r="A285" s="26">
        <v>7</v>
      </c>
      <c r="B285" s="26">
        <f>MONTH('Report Inputs'!$B$2)</f>
        <v>11</v>
      </c>
      <c r="C285" s="26">
        <f>YEAR('Report Inputs'!$B$2)</f>
        <v>2015</v>
      </c>
      <c r="D285" s="26">
        <v>66571</v>
      </c>
      <c r="F285" s="26" t="s">
        <v>65</v>
      </c>
      <c r="G285" s="26" t="s">
        <v>66</v>
      </c>
      <c r="H285" s="26" t="s">
        <v>67</v>
      </c>
      <c r="I285" s="26" t="s">
        <v>68</v>
      </c>
      <c r="J285" s="26" t="s">
        <v>69</v>
      </c>
      <c r="K285" s="26">
        <v>713</v>
      </c>
      <c r="L285" s="26" t="s">
        <v>70</v>
      </c>
      <c r="M285" s="26">
        <v>713</v>
      </c>
      <c r="N285" s="26" t="s">
        <v>71</v>
      </c>
      <c r="O285" s="26" t="s">
        <v>72</v>
      </c>
      <c r="P285" s="26">
        <v>45</v>
      </c>
      <c r="Q285" s="27">
        <v>18139</v>
      </c>
      <c r="R285" s="26">
        <v>0</v>
      </c>
      <c r="S285" s="26" t="s">
        <v>907</v>
      </c>
      <c r="T285" s="26" t="s">
        <v>80</v>
      </c>
      <c r="U285" s="26" t="str">
        <f t="shared" si="101"/>
        <v>PR</v>
      </c>
      <c r="V285" s="26">
        <v>1</v>
      </c>
      <c r="W285" s="26" t="s">
        <v>90</v>
      </c>
      <c r="X285" s="26">
        <v>9</v>
      </c>
      <c r="Y285" s="26" t="s">
        <v>74</v>
      </c>
      <c r="Z285" s="26" t="s">
        <v>75</v>
      </c>
      <c r="AA285" s="28">
        <f t="shared" si="103"/>
        <v>0</v>
      </c>
      <c r="AB285" s="28">
        <f t="shared" si="104"/>
        <v>1E-3</v>
      </c>
      <c r="AC285" s="28">
        <f t="shared" si="105"/>
        <v>1E-3</v>
      </c>
      <c r="AD285" s="28">
        <f t="shared" si="109"/>
        <v>0</v>
      </c>
      <c r="AE285" s="28">
        <f t="shared" si="106"/>
        <v>0</v>
      </c>
      <c r="AF285" s="28">
        <f t="shared" si="95"/>
        <v>212.17</v>
      </c>
      <c r="AG285" s="28">
        <f t="shared" si="102"/>
        <v>0</v>
      </c>
      <c r="AH285" s="28">
        <f t="shared" si="98"/>
        <v>212.07499999999999</v>
      </c>
      <c r="AI285" s="28">
        <f t="shared" si="96"/>
        <v>0</v>
      </c>
      <c r="AJ285" s="28">
        <f t="shared" si="108"/>
        <v>9.5000000000000001E-2</v>
      </c>
      <c r="AL285" s="28">
        <f>'Report Inputs'!$E$2</f>
        <v>1080</v>
      </c>
      <c r="AM285" s="28">
        <f t="shared" si="107"/>
        <v>5.0000000000000001E-3</v>
      </c>
      <c r="AN285" s="26" t="s">
        <v>744</v>
      </c>
      <c r="AS285" s="26" t="s">
        <v>76</v>
      </c>
      <c r="AT285" s="26" t="s">
        <v>77</v>
      </c>
      <c r="AU285" s="26" t="s">
        <v>78</v>
      </c>
      <c r="AV285" s="31">
        <f t="shared" ca="1" si="99"/>
        <v>42376.365371064814</v>
      </c>
    </row>
    <row r="286" spans="1:48">
      <c r="A286" s="26">
        <v>7</v>
      </c>
      <c r="B286" s="26">
        <f>MONTH('Report Inputs'!$B$2)</f>
        <v>11</v>
      </c>
      <c r="C286" s="26">
        <f>YEAR('Report Inputs'!$B$2)</f>
        <v>2015</v>
      </c>
      <c r="D286" s="26">
        <v>66571</v>
      </c>
      <c r="F286" s="26" t="s">
        <v>65</v>
      </c>
      <c r="G286" s="26" t="s">
        <v>66</v>
      </c>
      <c r="H286" s="26" t="s">
        <v>67</v>
      </c>
      <c r="I286" s="26" t="s">
        <v>68</v>
      </c>
      <c r="J286" s="26" t="s">
        <v>69</v>
      </c>
      <c r="K286" s="26">
        <v>713</v>
      </c>
      <c r="L286" s="26" t="s">
        <v>70</v>
      </c>
      <c r="M286" s="26">
        <v>713</v>
      </c>
      <c r="N286" s="26" t="s">
        <v>71</v>
      </c>
      <c r="O286" s="26" t="s">
        <v>72</v>
      </c>
      <c r="P286" s="26">
        <v>45</v>
      </c>
      <c r="Q286" s="27">
        <v>18140</v>
      </c>
      <c r="R286" s="26">
        <v>0</v>
      </c>
      <c r="S286" s="26" t="s">
        <v>866</v>
      </c>
      <c r="T286" s="26" t="s">
        <v>80</v>
      </c>
      <c r="U286" s="26" t="str">
        <f t="shared" si="101"/>
        <v>PR</v>
      </c>
      <c r="V286" s="26">
        <f t="shared" si="100"/>
        <v>2</v>
      </c>
      <c r="W286" s="26" t="s">
        <v>90</v>
      </c>
      <c r="X286" s="26">
        <v>9</v>
      </c>
      <c r="Y286" s="26" t="s">
        <v>74</v>
      </c>
      <c r="Z286" s="26" t="s">
        <v>75</v>
      </c>
      <c r="AA286" s="28">
        <f t="shared" si="103"/>
        <v>0</v>
      </c>
      <c r="AB286" s="28">
        <f t="shared" si="104"/>
        <v>0.04</v>
      </c>
      <c r="AC286" s="28">
        <f t="shared" si="105"/>
        <v>3.2000000000000001E-2</v>
      </c>
      <c r="AD286" s="28">
        <f t="shared" si="109"/>
        <v>0</v>
      </c>
      <c r="AE286" s="28">
        <f t="shared" si="106"/>
        <v>8.0000000000000002E-3</v>
      </c>
      <c r="AF286" s="28">
        <f t="shared" si="95"/>
        <v>375.67</v>
      </c>
      <c r="AG286" s="28">
        <f t="shared" si="102"/>
        <v>0</v>
      </c>
      <c r="AH286" s="28">
        <f t="shared" si="98"/>
        <v>219.17</v>
      </c>
      <c r="AI286" s="28">
        <f t="shared" si="96"/>
        <v>0</v>
      </c>
      <c r="AJ286" s="28">
        <f t="shared" si="108"/>
        <v>156.5</v>
      </c>
      <c r="AL286" s="28">
        <f>'Report Inputs'!$E$2</f>
        <v>1080</v>
      </c>
      <c r="AM286" s="28">
        <f t="shared" si="107"/>
        <v>7.7270000000000003</v>
      </c>
      <c r="AN286" s="26" t="s">
        <v>744</v>
      </c>
      <c r="AS286" s="26" t="s">
        <v>76</v>
      </c>
      <c r="AT286" s="26" t="s">
        <v>77</v>
      </c>
      <c r="AU286" s="26" t="s">
        <v>78</v>
      </c>
      <c r="AV286" s="31">
        <f t="shared" ca="1" si="99"/>
        <v>42376.365371064814</v>
      </c>
    </row>
    <row r="287" spans="1:48">
      <c r="A287" s="26">
        <v>7</v>
      </c>
      <c r="B287" s="26">
        <f>MONTH('Report Inputs'!$B$2)</f>
        <v>11</v>
      </c>
      <c r="C287" s="26">
        <f>YEAR('Report Inputs'!$B$2)</f>
        <v>2015</v>
      </c>
      <c r="D287" s="26">
        <v>66571</v>
      </c>
      <c r="F287" s="26" t="s">
        <v>65</v>
      </c>
      <c r="G287" s="26" t="s">
        <v>66</v>
      </c>
      <c r="H287" s="26" t="s">
        <v>67</v>
      </c>
      <c r="I287" s="26" t="s">
        <v>68</v>
      </c>
      <c r="J287" s="26" t="s">
        <v>69</v>
      </c>
      <c r="K287" s="26">
        <v>713</v>
      </c>
      <c r="L287" s="26" t="s">
        <v>70</v>
      </c>
      <c r="M287" s="26">
        <v>713</v>
      </c>
      <c r="N287" s="26" t="s">
        <v>71</v>
      </c>
      <c r="O287" s="26" t="s">
        <v>72</v>
      </c>
      <c r="P287" s="26">
        <v>45</v>
      </c>
      <c r="Q287" s="27">
        <v>18146</v>
      </c>
      <c r="R287" s="26">
        <v>0</v>
      </c>
      <c r="S287" s="26" t="s">
        <v>870</v>
      </c>
      <c r="T287" s="26" t="s">
        <v>80</v>
      </c>
      <c r="U287" s="26" t="str">
        <f t="shared" si="101"/>
        <v>SI</v>
      </c>
      <c r="V287" s="26">
        <f t="shared" si="100"/>
        <v>0</v>
      </c>
      <c r="W287" s="26" t="s">
        <v>94</v>
      </c>
      <c r="X287" s="26">
        <v>8</v>
      </c>
      <c r="Y287" s="26" t="s">
        <v>74</v>
      </c>
      <c r="Z287" s="26" t="s">
        <v>75</v>
      </c>
      <c r="AA287" s="28">
        <f t="shared" si="103"/>
        <v>0</v>
      </c>
      <c r="AB287" s="28">
        <f t="shared" si="104"/>
        <v>0</v>
      </c>
      <c r="AC287" s="28">
        <f t="shared" si="105"/>
        <v>0</v>
      </c>
      <c r="AD287" s="28">
        <f t="shared" si="109"/>
        <v>0</v>
      </c>
      <c r="AE287" s="28">
        <f t="shared" si="106"/>
        <v>0</v>
      </c>
      <c r="AF287" s="28">
        <f t="shared" si="95"/>
        <v>0</v>
      </c>
      <c r="AG287" s="28">
        <f t="shared" si="102"/>
        <v>0</v>
      </c>
      <c r="AH287" s="28">
        <f t="shared" si="98"/>
        <v>0</v>
      </c>
      <c r="AI287" s="28">
        <f t="shared" si="96"/>
        <v>0</v>
      </c>
      <c r="AJ287" s="28">
        <f t="shared" si="108"/>
        <v>0</v>
      </c>
      <c r="AM287" s="28">
        <f t="shared" si="107"/>
        <v>0</v>
      </c>
      <c r="AN287" s="26" t="s">
        <v>744</v>
      </c>
      <c r="AS287" s="26" t="s">
        <v>76</v>
      </c>
      <c r="AT287" s="26" t="s">
        <v>77</v>
      </c>
      <c r="AU287" s="26" t="s">
        <v>78</v>
      </c>
      <c r="AV287" s="31">
        <f t="shared" ca="1" si="99"/>
        <v>42376.365371064814</v>
      </c>
    </row>
    <row r="288" spans="1:48">
      <c r="A288" s="26">
        <v>7</v>
      </c>
      <c r="B288" s="26">
        <f>MONTH('Report Inputs'!$B$2)</f>
        <v>11</v>
      </c>
      <c r="C288" s="26">
        <f>YEAR('Report Inputs'!$B$2)</f>
        <v>2015</v>
      </c>
      <c r="D288" s="26">
        <v>66571</v>
      </c>
      <c r="F288" s="26" t="s">
        <v>65</v>
      </c>
      <c r="G288" s="26" t="s">
        <v>66</v>
      </c>
      <c r="H288" s="26" t="s">
        <v>67</v>
      </c>
      <c r="I288" s="26" t="s">
        <v>68</v>
      </c>
      <c r="J288" s="26" t="s">
        <v>69</v>
      </c>
      <c r="K288" s="26">
        <v>713</v>
      </c>
      <c r="L288" s="26" t="s">
        <v>70</v>
      </c>
      <c r="M288" s="26">
        <v>713</v>
      </c>
      <c r="N288" s="26" t="s">
        <v>71</v>
      </c>
      <c r="O288" s="26" t="s">
        <v>72</v>
      </c>
      <c r="P288" s="26">
        <v>45</v>
      </c>
      <c r="Q288" s="27">
        <v>18147</v>
      </c>
      <c r="R288" s="26">
        <v>0</v>
      </c>
      <c r="S288" s="26" t="s">
        <v>889</v>
      </c>
      <c r="T288" s="26" t="s">
        <v>80</v>
      </c>
      <c r="U288" s="26" t="str">
        <f t="shared" si="101"/>
        <v>PR</v>
      </c>
      <c r="V288" s="26">
        <f t="shared" si="100"/>
        <v>30</v>
      </c>
      <c r="W288" s="26" t="s">
        <v>94</v>
      </c>
      <c r="X288" s="26">
        <v>8</v>
      </c>
      <c r="Y288" s="26" t="s">
        <v>74</v>
      </c>
      <c r="Z288" s="26" t="s">
        <v>75</v>
      </c>
      <c r="AA288" s="28">
        <f t="shared" si="103"/>
        <v>0.50900000000000001</v>
      </c>
      <c r="AB288" s="28">
        <f t="shared" si="104"/>
        <v>0.48899999999999999</v>
      </c>
      <c r="AC288" s="28">
        <f t="shared" si="105"/>
        <v>0.82799999999999996</v>
      </c>
      <c r="AD288" s="28">
        <f t="shared" si="109"/>
        <v>0</v>
      </c>
      <c r="AE288" s="28">
        <f t="shared" si="106"/>
        <v>0.17</v>
      </c>
      <c r="AF288" s="28">
        <f t="shared" si="95"/>
        <v>3151.67</v>
      </c>
      <c r="AG288" s="28">
        <f t="shared" si="102"/>
        <v>0</v>
      </c>
      <c r="AH288" s="28">
        <f t="shared" si="98"/>
        <v>339.64299999999997</v>
      </c>
      <c r="AI288" s="28">
        <f t="shared" si="96"/>
        <v>0</v>
      </c>
      <c r="AJ288" s="28">
        <f t="shared" si="108"/>
        <v>2812.027</v>
      </c>
      <c r="AK288" s="30">
        <f>'Report Inputs'!$F$2</f>
        <v>55.9</v>
      </c>
      <c r="AL288" s="28">
        <f>'Report Inputs'!$E$2</f>
        <v>1080</v>
      </c>
      <c r="AM288" s="28">
        <f t="shared" si="107"/>
        <v>86.352000000000004</v>
      </c>
      <c r="AN288" s="26" t="s">
        <v>744</v>
      </c>
      <c r="AS288" s="26" t="s">
        <v>76</v>
      </c>
      <c r="AT288" s="26" t="s">
        <v>77</v>
      </c>
      <c r="AU288" s="26" t="s">
        <v>78</v>
      </c>
      <c r="AV288" s="31">
        <f t="shared" ca="1" si="99"/>
        <v>42376.365371064814</v>
      </c>
    </row>
    <row r="289" spans="1:48">
      <c r="A289" s="26">
        <v>7</v>
      </c>
      <c r="B289" s="26">
        <f>MONTH('Report Inputs'!$B$2)</f>
        <v>11</v>
      </c>
      <c r="C289" s="26">
        <f>YEAR('Report Inputs'!$B$2)</f>
        <v>2015</v>
      </c>
      <c r="D289" s="26">
        <v>66571</v>
      </c>
      <c r="F289" s="26" t="s">
        <v>65</v>
      </c>
      <c r="G289" s="26" t="s">
        <v>66</v>
      </c>
      <c r="H289" s="26" t="s">
        <v>67</v>
      </c>
      <c r="I289" s="26" t="s">
        <v>68</v>
      </c>
      <c r="J289" s="26" t="s">
        <v>69</v>
      </c>
      <c r="K289" s="26">
        <v>713</v>
      </c>
      <c r="L289" s="26" t="s">
        <v>70</v>
      </c>
      <c r="M289" s="26">
        <v>713</v>
      </c>
      <c r="N289" s="26" t="s">
        <v>71</v>
      </c>
      <c r="O289" s="26" t="s">
        <v>72</v>
      </c>
      <c r="P289" s="26">
        <v>45</v>
      </c>
      <c r="Q289" s="27">
        <v>18148</v>
      </c>
      <c r="R289" s="26">
        <v>0</v>
      </c>
      <c r="S289" s="26" t="s">
        <v>853</v>
      </c>
      <c r="T289" s="26" t="s">
        <v>80</v>
      </c>
      <c r="U289" s="26" t="str">
        <f t="shared" si="101"/>
        <v>PR</v>
      </c>
      <c r="V289" s="26">
        <f t="shared" si="100"/>
        <v>30</v>
      </c>
      <c r="W289" s="26" t="s">
        <v>94</v>
      </c>
      <c r="X289" s="26">
        <v>8</v>
      </c>
      <c r="Y289" s="26" t="s">
        <v>74</v>
      </c>
      <c r="Z289" s="26" t="s">
        <v>75</v>
      </c>
      <c r="AA289" s="28">
        <f t="shared" si="103"/>
        <v>0.57099999999999995</v>
      </c>
      <c r="AB289" s="28">
        <f t="shared" si="104"/>
        <v>0.58099999999999996</v>
      </c>
      <c r="AC289" s="28">
        <f t="shared" si="105"/>
        <v>0.95299999999999996</v>
      </c>
      <c r="AD289" s="28">
        <f t="shared" si="109"/>
        <v>-1</v>
      </c>
      <c r="AE289" s="28">
        <f t="shared" si="106"/>
        <v>0.19900000000000001</v>
      </c>
      <c r="AF289" s="28">
        <f t="shared" si="95"/>
        <v>3624.17</v>
      </c>
      <c r="AG289" s="28">
        <f t="shared" si="102"/>
        <v>0</v>
      </c>
      <c r="AH289" s="28">
        <v>283</v>
      </c>
      <c r="AI289" s="28">
        <f t="shared" si="96"/>
        <v>0</v>
      </c>
      <c r="AJ289" s="28">
        <f t="shared" si="108"/>
        <v>3340.549</v>
      </c>
      <c r="AK289" s="30">
        <f>'Report Inputs'!$F$2</f>
        <v>55.9</v>
      </c>
      <c r="AL289" s="28">
        <f>'Report Inputs'!$E$2</f>
        <v>1080</v>
      </c>
      <c r="AM289" s="28">
        <f t="shared" si="107"/>
        <v>102.581</v>
      </c>
      <c r="AN289" s="26" t="s">
        <v>744</v>
      </c>
      <c r="AS289" s="26" t="s">
        <v>76</v>
      </c>
      <c r="AT289" s="26" t="s">
        <v>77</v>
      </c>
      <c r="AU289" s="26" t="s">
        <v>78</v>
      </c>
      <c r="AV289" s="31">
        <f t="shared" ca="1" si="99"/>
        <v>42376.365371064814</v>
      </c>
    </row>
    <row r="290" spans="1:48">
      <c r="A290" s="26">
        <v>7</v>
      </c>
      <c r="B290" s="26">
        <f>MONTH('Report Inputs'!$B$2)</f>
        <v>11</v>
      </c>
      <c r="C290" s="26">
        <f>YEAR('Report Inputs'!$B$2)</f>
        <v>2015</v>
      </c>
      <c r="D290" s="26">
        <v>66571</v>
      </c>
      <c r="F290" s="26" t="s">
        <v>65</v>
      </c>
      <c r="G290" s="26" t="s">
        <v>66</v>
      </c>
      <c r="H290" s="26" t="s">
        <v>67</v>
      </c>
      <c r="I290" s="26" t="s">
        <v>68</v>
      </c>
      <c r="J290" s="26" t="s">
        <v>69</v>
      </c>
      <c r="K290" s="26">
        <v>713</v>
      </c>
      <c r="L290" s="26" t="s">
        <v>70</v>
      </c>
      <c r="M290" s="26">
        <v>713</v>
      </c>
      <c r="N290" s="26" t="s">
        <v>71</v>
      </c>
      <c r="O290" s="26" t="s">
        <v>72</v>
      </c>
      <c r="P290" s="26">
        <v>45</v>
      </c>
      <c r="Q290" s="27">
        <v>18149</v>
      </c>
      <c r="R290" s="26">
        <v>0</v>
      </c>
      <c r="S290" s="26" t="s">
        <v>863</v>
      </c>
      <c r="T290" s="26" t="s">
        <v>80</v>
      </c>
      <c r="U290" s="26" t="str">
        <f t="shared" si="101"/>
        <v>PR</v>
      </c>
      <c r="V290" s="26">
        <f t="shared" si="100"/>
        <v>30</v>
      </c>
      <c r="W290" s="26" t="s">
        <v>94</v>
      </c>
      <c r="X290" s="26">
        <v>8</v>
      </c>
      <c r="Y290" s="26" t="s">
        <v>74</v>
      </c>
      <c r="Z290" s="26" t="s">
        <v>75</v>
      </c>
      <c r="AA290" s="28">
        <f t="shared" si="103"/>
        <v>0.68400000000000005</v>
      </c>
      <c r="AB290" s="28">
        <f t="shared" si="104"/>
        <v>0.76700000000000002</v>
      </c>
      <c r="AC290" s="28">
        <f t="shared" si="105"/>
        <v>1.1919999999999999</v>
      </c>
      <c r="AD290" s="28">
        <f t="shared" si="109"/>
        <v>-1</v>
      </c>
      <c r="AE290" s="28">
        <f t="shared" si="106"/>
        <v>0.25900000000000001</v>
      </c>
      <c r="AF290" s="28">
        <f t="shared" si="95"/>
        <v>4804.8999999999996</v>
      </c>
      <c r="AG290" s="28">
        <f t="shared" si="102"/>
        <v>0</v>
      </c>
      <c r="AH290" s="28">
        <f t="shared" si="98"/>
        <v>397.83499999999998</v>
      </c>
      <c r="AI290" s="28">
        <f t="shared" si="96"/>
        <v>0</v>
      </c>
      <c r="AJ290" s="28">
        <f t="shared" si="108"/>
        <v>4407.0649999999996</v>
      </c>
      <c r="AK290" s="30">
        <f>'Report Inputs'!$F$2</f>
        <v>55.9</v>
      </c>
      <c r="AL290" s="28">
        <f>'Report Inputs'!$E$2</f>
        <v>1080</v>
      </c>
      <c r="AM290" s="28">
        <f t="shared" si="107"/>
        <v>135.33000000000001</v>
      </c>
      <c r="AN290" s="26" t="s">
        <v>744</v>
      </c>
      <c r="AS290" s="26" t="s">
        <v>76</v>
      </c>
      <c r="AT290" s="26" t="s">
        <v>77</v>
      </c>
      <c r="AU290" s="26" t="s">
        <v>78</v>
      </c>
      <c r="AV290" s="31">
        <f t="shared" ca="1" si="99"/>
        <v>42376.365371064814</v>
      </c>
    </row>
    <row r="291" spans="1:48">
      <c r="A291" s="26">
        <v>7</v>
      </c>
      <c r="B291" s="26">
        <f>MONTH('Report Inputs'!$B$2)</f>
        <v>11</v>
      </c>
      <c r="C291" s="26">
        <f>YEAR('Report Inputs'!$B$2)</f>
        <v>2015</v>
      </c>
      <c r="D291" s="26">
        <v>66571</v>
      </c>
      <c r="F291" s="26" t="s">
        <v>65</v>
      </c>
      <c r="G291" s="26" t="s">
        <v>66</v>
      </c>
      <c r="H291" s="26" t="s">
        <v>67</v>
      </c>
      <c r="I291" s="26" t="s">
        <v>68</v>
      </c>
      <c r="J291" s="26" t="s">
        <v>69</v>
      </c>
      <c r="K291" s="26">
        <v>713</v>
      </c>
      <c r="L291" s="26" t="s">
        <v>70</v>
      </c>
      <c r="M291" s="26">
        <v>713</v>
      </c>
      <c r="N291" s="26" t="s">
        <v>71</v>
      </c>
      <c r="O291" s="26" t="s">
        <v>72</v>
      </c>
      <c r="P291" s="26">
        <v>45</v>
      </c>
      <c r="Q291" s="27">
        <v>18150</v>
      </c>
      <c r="R291" s="26">
        <v>0</v>
      </c>
      <c r="S291" s="26" t="s">
        <v>851</v>
      </c>
      <c r="T291" s="26" t="s">
        <v>80</v>
      </c>
      <c r="U291" s="26" t="str">
        <f t="shared" si="101"/>
        <v>PR</v>
      </c>
      <c r="V291" s="26">
        <f t="shared" si="100"/>
        <v>30</v>
      </c>
      <c r="W291" s="26" t="s">
        <v>94</v>
      </c>
      <c r="X291" s="26">
        <v>8</v>
      </c>
      <c r="Y291" s="26" t="s">
        <v>74</v>
      </c>
      <c r="Z291" s="26" t="s">
        <v>75</v>
      </c>
      <c r="AA291" s="28">
        <f t="shared" si="103"/>
        <v>0.65600000000000003</v>
      </c>
      <c r="AB291" s="28">
        <f t="shared" si="104"/>
        <v>0.67500000000000004</v>
      </c>
      <c r="AC291" s="28">
        <f t="shared" si="105"/>
        <v>1.099</v>
      </c>
      <c r="AD291" s="28">
        <f t="shared" si="109"/>
        <v>-1</v>
      </c>
      <c r="AE291" s="28">
        <f t="shared" si="106"/>
        <v>0.23200000000000001</v>
      </c>
      <c r="AF291" s="28">
        <f t="shared" si="95"/>
        <v>4259.1499999999996</v>
      </c>
      <c r="AG291" s="28">
        <f t="shared" si="102"/>
        <v>0</v>
      </c>
      <c r="AH291" s="28">
        <f t="shared" si="98"/>
        <v>380.22500000000002</v>
      </c>
      <c r="AI291" s="28">
        <f t="shared" si="96"/>
        <v>0</v>
      </c>
      <c r="AJ291" s="28">
        <f t="shared" si="108"/>
        <v>3878.9250000000002</v>
      </c>
      <c r="AK291" s="30">
        <f>'Report Inputs'!$F$2</f>
        <v>55.9</v>
      </c>
      <c r="AL291" s="28">
        <f>'Report Inputs'!$E$2</f>
        <v>1080</v>
      </c>
      <c r="AM291" s="28">
        <f t="shared" si="107"/>
        <v>119.113</v>
      </c>
      <c r="AN291" s="26" t="s">
        <v>744</v>
      </c>
      <c r="AS291" s="26" t="s">
        <v>76</v>
      </c>
      <c r="AT291" s="26" t="s">
        <v>77</v>
      </c>
      <c r="AU291" s="26" t="s">
        <v>78</v>
      </c>
      <c r="AV291" s="31">
        <f t="shared" ca="1" si="99"/>
        <v>42376.365371064814</v>
      </c>
    </row>
    <row r="292" spans="1:48">
      <c r="A292" s="26">
        <v>7</v>
      </c>
      <c r="B292" s="26">
        <f>MONTH('Report Inputs'!$B$2)</f>
        <v>11</v>
      </c>
      <c r="C292" s="26">
        <f>YEAR('Report Inputs'!$B$2)</f>
        <v>2015</v>
      </c>
      <c r="D292" s="26">
        <v>66571</v>
      </c>
      <c r="F292" s="26" t="s">
        <v>65</v>
      </c>
      <c r="G292" s="26" t="s">
        <v>66</v>
      </c>
      <c r="H292" s="26" t="s">
        <v>67</v>
      </c>
      <c r="I292" s="26" t="s">
        <v>68</v>
      </c>
      <c r="J292" s="26" t="s">
        <v>69</v>
      </c>
      <c r="K292" s="26">
        <v>713</v>
      </c>
      <c r="L292" s="26" t="s">
        <v>70</v>
      </c>
      <c r="M292" s="26">
        <v>713</v>
      </c>
      <c r="N292" s="26" t="s">
        <v>71</v>
      </c>
      <c r="O292" s="26" t="s">
        <v>72</v>
      </c>
      <c r="P292" s="26">
        <v>45</v>
      </c>
      <c r="Q292" s="27">
        <v>18175</v>
      </c>
      <c r="R292" s="26">
        <v>0</v>
      </c>
      <c r="S292" s="26" t="s">
        <v>808</v>
      </c>
      <c r="T292" s="26" t="s">
        <v>80</v>
      </c>
      <c r="U292" s="26" t="str">
        <f t="shared" si="101"/>
        <v>PR</v>
      </c>
      <c r="V292" s="26">
        <f t="shared" si="100"/>
        <v>30</v>
      </c>
      <c r="W292" s="26" t="s">
        <v>73</v>
      </c>
      <c r="X292" s="26">
        <v>9</v>
      </c>
      <c r="Y292" s="26" t="s">
        <v>74</v>
      </c>
      <c r="Z292" s="26" t="s">
        <v>75</v>
      </c>
      <c r="AA292" s="28">
        <f t="shared" si="103"/>
        <v>0.41099999999999998</v>
      </c>
      <c r="AB292" s="28">
        <f t="shared" si="104"/>
        <v>8.8469999999999995</v>
      </c>
      <c r="AC292" s="28">
        <f t="shared" si="105"/>
        <v>8.7859999999999996</v>
      </c>
      <c r="AD292" s="28">
        <f t="shared" si="109"/>
        <v>0</v>
      </c>
      <c r="AE292" s="28">
        <f t="shared" si="106"/>
        <v>0.47199999999999998</v>
      </c>
      <c r="AF292" s="28">
        <f t="shared" si="95"/>
        <v>3304.66</v>
      </c>
      <c r="AG292" s="28">
        <f t="shared" si="102"/>
        <v>1.69</v>
      </c>
      <c r="AH292" s="28">
        <f t="shared" si="98"/>
        <v>346.209</v>
      </c>
      <c r="AI292" s="28">
        <f t="shared" si="96"/>
        <v>0</v>
      </c>
      <c r="AJ292" s="28">
        <f t="shared" si="108"/>
        <v>2956.761</v>
      </c>
      <c r="AK292" s="30">
        <f>'Report Inputs'!$F$2</f>
        <v>55.9</v>
      </c>
      <c r="AL292" s="28">
        <f>'Report Inputs'!$E$2</f>
        <v>1080</v>
      </c>
      <c r="AM292" s="28">
        <f t="shared" si="107"/>
        <v>58.427</v>
      </c>
      <c r="AN292" s="26" t="s">
        <v>744</v>
      </c>
      <c r="AS292" s="26" t="s">
        <v>76</v>
      </c>
      <c r="AT292" s="26" t="s">
        <v>77</v>
      </c>
      <c r="AU292" s="26" t="s">
        <v>78</v>
      </c>
      <c r="AV292" s="31">
        <f t="shared" ca="1" si="99"/>
        <v>42376.365371064814</v>
      </c>
    </row>
    <row r="293" spans="1:48">
      <c r="A293" s="26">
        <v>7</v>
      </c>
      <c r="B293" s="26">
        <f>MONTH('Report Inputs'!$B$2)</f>
        <v>11</v>
      </c>
      <c r="C293" s="26">
        <f>YEAR('Report Inputs'!$B$2)</f>
        <v>2015</v>
      </c>
      <c r="D293" s="26">
        <v>66571</v>
      </c>
      <c r="F293" s="26" t="s">
        <v>65</v>
      </c>
      <c r="G293" s="26" t="s">
        <v>66</v>
      </c>
      <c r="H293" s="26" t="s">
        <v>67</v>
      </c>
      <c r="I293" s="26" t="s">
        <v>68</v>
      </c>
      <c r="J293" s="26" t="s">
        <v>69</v>
      </c>
      <c r="K293" s="26">
        <v>713</v>
      </c>
      <c r="L293" s="26" t="s">
        <v>70</v>
      </c>
      <c r="M293" s="26">
        <v>713</v>
      </c>
      <c r="N293" s="26" t="s">
        <v>71</v>
      </c>
      <c r="O293" s="26" t="s">
        <v>72</v>
      </c>
      <c r="P293" s="26">
        <v>45</v>
      </c>
      <c r="Q293" s="27">
        <v>18176</v>
      </c>
      <c r="R293" s="26">
        <v>0</v>
      </c>
      <c r="S293" s="26" t="s">
        <v>772</v>
      </c>
      <c r="T293" s="26" t="s">
        <v>80</v>
      </c>
      <c r="U293" s="26" t="str">
        <f t="shared" si="101"/>
        <v>PR</v>
      </c>
      <c r="V293" s="26">
        <f t="shared" si="100"/>
        <v>30</v>
      </c>
      <c r="W293" s="26" t="s">
        <v>73</v>
      </c>
      <c r="X293" s="26">
        <v>9</v>
      </c>
      <c r="Y293" s="26" t="s">
        <v>74</v>
      </c>
      <c r="Z293" s="26" t="s">
        <v>75</v>
      </c>
      <c r="AA293" s="28">
        <f t="shared" si="103"/>
        <v>0.505</v>
      </c>
      <c r="AB293" s="28">
        <f t="shared" si="104"/>
        <v>10.36</v>
      </c>
      <c r="AC293" s="28">
        <f t="shared" si="105"/>
        <v>10.311999999999999</v>
      </c>
      <c r="AD293" s="28">
        <f t="shared" si="109"/>
        <v>0</v>
      </c>
      <c r="AE293" s="28">
        <f t="shared" si="106"/>
        <v>0.55300000000000005</v>
      </c>
      <c r="AF293" s="28">
        <f t="shared" si="95"/>
        <v>3833.75</v>
      </c>
      <c r="AG293" s="28">
        <f t="shared" si="102"/>
        <v>1.98</v>
      </c>
      <c r="AH293" s="28">
        <f t="shared" si="98"/>
        <v>369.15899999999999</v>
      </c>
      <c r="AI293" s="28">
        <f t="shared" si="96"/>
        <v>0</v>
      </c>
      <c r="AJ293" s="28">
        <f t="shared" si="108"/>
        <v>3462.6109999999999</v>
      </c>
      <c r="AK293" s="30">
        <f>'Report Inputs'!$F$2</f>
        <v>55.9</v>
      </c>
      <c r="AL293" s="28">
        <f>'Report Inputs'!$E$2</f>
        <v>1080</v>
      </c>
      <c r="AM293" s="28">
        <f t="shared" si="107"/>
        <v>68.42</v>
      </c>
      <c r="AN293" s="26" t="s">
        <v>744</v>
      </c>
      <c r="AS293" s="26" t="s">
        <v>76</v>
      </c>
      <c r="AT293" s="26" t="s">
        <v>77</v>
      </c>
      <c r="AU293" s="26" t="s">
        <v>78</v>
      </c>
      <c r="AV293" s="31">
        <f t="shared" ca="1" si="99"/>
        <v>42376.365371064814</v>
      </c>
    </row>
    <row r="294" spans="1:48">
      <c r="A294" s="26">
        <v>7</v>
      </c>
      <c r="B294" s="26">
        <f>MONTH('Report Inputs'!$B$2)</f>
        <v>11</v>
      </c>
      <c r="C294" s="26">
        <f>YEAR('Report Inputs'!$B$2)</f>
        <v>2015</v>
      </c>
      <c r="D294" s="26">
        <v>66571</v>
      </c>
      <c r="F294" s="26" t="s">
        <v>65</v>
      </c>
      <c r="G294" s="26" t="s">
        <v>66</v>
      </c>
      <c r="H294" s="26" t="s">
        <v>67</v>
      </c>
      <c r="I294" s="26" t="s">
        <v>68</v>
      </c>
      <c r="J294" s="26" t="s">
        <v>69</v>
      </c>
      <c r="K294" s="26">
        <v>713</v>
      </c>
      <c r="L294" s="26" t="s">
        <v>70</v>
      </c>
      <c r="M294" s="26">
        <v>713</v>
      </c>
      <c r="N294" s="26" t="s">
        <v>71</v>
      </c>
      <c r="O294" s="26" t="s">
        <v>72</v>
      </c>
      <c r="P294" s="26">
        <v>45</v>
      </c>
      <c r="Q294" s="27">
        <v>18345</v>
      </c>
      <c r="R294" s="26">
        <v>0</v>
      </c>
      <c r="S294" s="26" t="s">
        <v>848</v>
      </c>
      <c r="T294" s="26" t="s">
        <v>80</v>
      </c>
      <c r="U294" s="26" t="str">
        <f t="shared" si="101"/>
        <v>PR</v>
      </c>
      <c r="V294" s="26">
        <f t="shared" si="100"/>
        <v>30</v>
      </c>
      <c r="W294" s="26" t="s">
        <v>84</v>
      </c>
      <c r="X294" s="26">
        <v>8</v>
      </c>
      <c r="Y294" s="26" t="s">
        <v>74</v>
      </c>
      <c r="Z294" s="26" t="s">
        <v>75</v>
      </c>
      <c r="AA294" s="28">
        <f t="shared" ref="AA294:AA309" si="110">IF(ISNA(VLOOKUP($Q294,data,5,FALSE)),0,VLOOKUP($Q294,data,5,FALSE))</f>
        <v>0.69299999999999995</v>
      </c>
      <c r="AB294" s="28">
        <f t="shared" ref="AB294:AB309" si="111">IF(ISNA(VLOOKUP($Q294,data,7,FALSE)),0,VLOOKUP($Q294,data,7,FALSE))</f>
        <v>0.63600000000000001</v>
      </c>
      <c r="AC294" s="28">
        <f t="shared" ref="AC294:AC309" si="112">IF(ISNA(VLOOKUP($Q294,data,6,FALSE)),0,VLOOKUP($Q294,data,6,FALSE))</f>
        <v>1.1100000000000001</v>
      </c>
      <c r="AD294" s="28">
        <f t="shared" si="109"/>
        <v>-1</v>
      </c>
      <c r="AE294" s="28">
        <f t="shared" ref="AE294:AE309" si="113">IF(ISNA(VLOOKUP($Q294,data,13,FALSE)),0,VLOOKUP($Q294,data,13,FALSE))</f>
        <v>0.219</v>
      </c>
      <c r="AF294" s="28">
        <f t="shared" ref="AF294:AF357" si="114">IF(ISNA(VLOOKUP($Q294,data,9,FALSE)),0,VLOOKUP($Q294,data,9,FALSE))</f>
        <v>4037.97</v>
      </c>
      <c r="AG294" s="28">
        <f t="shared" si="102"/>
        <v>0</v>
      </c>
      <c r="AH294" s="28">
        <f t="shared" si="98"/>
        <v>378.10700000000003</v>
      </c>
      <c r="AI294" s="28">
        <f t="shared" ref="AI294:AI357" si="115">ROUND(AF294,0)-ROUND(AG294,0)-ROUND(AH294,0)-ROUND(AJ294,0)</f>
        <v>0</v>
      </c>
      <c r="AJ294" s="28">
        <f t="shared" si="108"/>
        <v>3659.8629999999998</v>
      </c>
      <c r="AK294" s="30">
        <f>'Report Inputs'!$F$2</f>
        <v>55.9</v>
      </c>
      <c r="AL294" s="28">
        <f>'Report Inputs'!$E$2</f>
        <v>1080</v>
      </c>
      <c r="AM294" s="28">
        <f t="shared" ref="AM294:AM309" si="116">IF(ISNA(VLOOKUP($Q294,data,14,FALSE)),0,VLOOKUP($Q294,data,14,FALSE))</f>
        <v>162.227</v>
      </c>
      <c r="AN294" s="26" t="s">
        <v>744</v>
      </c>
      <c r="AS294" s="26" t="s">
        <v>76</v>
      </c>
      <c r="AT294" s="26" t="s">
        <v>77</v>
      </c>
      <c r="AU294" s="26" t="s">
        <v>78</v>
      </c>
      <c r="AV294" s="31">
        <f t="shared" ca="1" si="99"/>
        <v>42376.365371064814</v>
      </c>
    </row>
    <row r="295" spans="1:48">
      <c r="A295" s="26">
        <v>7</v>
      </c>
      <c r="B295" s="26">
        <f>MONTH('Report Inputs'!$B$2)</f>
        <v>11</v>
      </c>
      <c r="C295" s="26">
        <f>YEAR('Report Inputs'!$B$2)</f>
        <v>2015</v>
      </c>
      <c r="D295" s="26">
        <v>66571</v>
      </c>
      <c r="F295" s="26" t="s">
        <v>65</v>
      </c>
      <c r="G295" s="26" t="s">
        <v>66</v>
      </c>
      <c r="H295" s="26" t="s">
        <v>67</v>
      </c>
      <c r="I295" s="26" t="s">
        <v>68</v>
      </c>
      <c r="J295" s="26" t="s">
        <v>69</v>
      </c>
      <c r="K295" s="26">
        <v>713</v>
      </c>
      <c r="L295" s="26" t="s">
        <v>70</v>
      </c>
      <c r="M295" s="26">
        <v>713</v>
      </c>
      <c r="N295" s="26" t="s">
        <v>71</v>
      </c>
      <c r="O295" s="26" t="s">
        <v>72</v>
      </c>
      <c r="P295" s="26">
        <v>45</v>
      </c>
      <c r="Q295" s="27">
        <v>18348</v>
      </c>
      <c r="R295" s="26">
        <v>0</v>
      </c>
      <c r="S295" s="26" t="s">
        <v>843</v>
      </c>
      <c r="T295" s="26" t="s">
        <v>80</v>
      </c>
      <c r="U295" s="26" t="str">
        <f t="shared" si="101"/>
        <v>PR</v>
      </c>
      <c r="V295" s="26">
        <f t="shared" si="100"/>
        <v>30</v>
      </c>
      <c r="W295" s="26" t="s">
        <v>84</v>
      </c>
      <c r="X295" s="26">
        <v>8</v>
      </c>
      <c r="Y295" s="26" t="s">
        <v>74</v>
      </c>
      <c r="Z295" s="26" t="s">
        <v>75</v>
      </c>
      <c r="AA295" s="28">
        <f t="shared" si="110"/>
        <v>0.75900000000000001</v>
      </c>
      <c r="AB295" s="28">
        <f t="shared" si="111"/>
        <v>0.71699999999999997</v>
      </c>
      <c r="AC295" s="28">
        <f t="shared" si="112"/>
        <v>1.232</v>
      </c>
      <c r="AD295" s="28">
        <f t="shared" si="109"/>
        <v>-1</v>
      </c>
      <c r="AE295" s="28">
        <f t="shared" si="113"/>
        <v>0.24399999999999999</v>
      </c>
      <c r="AF295" s="28">
        <f t="shared" si="114"/>
        <v>4516.97</v>
      </c>
      <c r="AG295" s="28">
        <f t="shared" si="102"/>
        <v>0</v>
      </c>
      <c r="AH295" s="28">
        <f t="shared" ref="AH295:AH309" si="117">IF(ISNA(VLOOKUP($Q295,data,11,FALSE)),0,VLOOKUP($Q295,data,11,FALSE))</f>
        <v>398.89499999999998</v>
      </c>
      <c r="AI295" s="28">
        <f t="shared" si="115"/>
        <v>0</v>
      </c>
      <c r="AJ295" s="28">
        <f t="shared" si="108"/>
        <v>4118.0749999999998</v>
      </c>
      <c r="AK295" s="30">
        <f>'Report Inputs'!$F$2</f>
        <v>55.9</v>
      </c>
      <c r="AL295" s="28">
        <f>'Report Inputs'!$E$2</f>
        <v>1080</v>
      </c>
      <c r="AM295" s="28">
        <f t="shared" si="116"/>
        <v>182.53700000000001</v>
      </c>
      <c r="AN295" s="26" t="s">
        <v>744</v>
      </c>
      <c r="AS295" s="26" t="s">
        <v>76</v>
      </c>
      <c r="AT295" s="26" t="s">
        <v>77</v>
      </c>
      <c r="AU295" s="26" t="s">
        <v>78</v>
      </c>
      <c r="AV295" s="31">
        <f t="shared" ca="1" si="99"/>
        <v>42376.365371064814</v>
      </c>
    </row>
    <row r="296" spans="1:48">
      <c r="A296" s="26">
        <v>7</v>
      </c>
      <c r="B296" s="26">
        <f>MONTH('Report Inputs'!$B$2)</f>
        <v>11</v>
      </c>
      <c r="C296" s="26">
        <f>YEAR('Report Inputs'!$B$2)</f>
        <v>2015</v>
      </c>
      <c r="D296" s="26">
        <v>66571</v>
      </c>
      <c r="F296" s="26" t="s">
        <v>65</v>
      </c>
      <c r="G296" s="26" t="s">
        <v>66</v>
      </c>
      <c r="H296" s="26" t="s">
        <v>67</v>
      </c>
      <c r="I296" s="26" t="s">
        <v>68</v>
      </c>
      <c r="J296" s="26" t="s">
        <v>69</v>
      </c>
      <c r="K296" s="26">
        <v>713</v>
      </c>
      <c r="L296" s="26" t="s">
        <v>70</v>
      </c>
      <c r="M296" s="26">
        <v>713</v>
      </c>
      <c r="N296" s="26" t="s">
        <v>71</v>
      </c>
      <c r="O296" s="26" t="s">
        <v>72</v>
      </c>
      <c r="P296" s="26">
        <v>45</v>
      </c>
      <c r="Q296" s="27">
        <v>18349</v>
      </c>
      <c r="R296" s="26">
        <v>0</v>
      </c>
      <c r="S296" s="26" t="s">
        <v>852</v>
      </c>
      <c r="T296" s="26" t="s">
        <v>80</v>
      </c>
      <c r="U296" s="26" t="str">
        <f t="shared" si="101"/>
        <v>PR</v>
      </c>
      <c r="V296" s="26">
        <f t="shared" si="100"/>
        <v>30</v>
      </c>
      <c r="W296" s="26" t="s">
        <v>84</v>
      </c>
      <c r="X296" s="26">
        <v>8</v>
      </c>
      <c r="Y296" s="26" t="s">
        <v>74</v>
      </c>
      <c r="Z296" s="26" t="s">
        <v>75</v>
      </c>
      <c r="AA296" s="28">
        <f t="shared" si="110"/>
        <v>0.42399999999999999</v>
      </c>
      <c r="AB296" s="28">
        <f t="shared" si="111"/>
        <v>0.39300000000000002</v>
      </c>
      <c r="AC296" s="28">
        <f t="shared" si="112"/>
        <v>0.68200000000000005</v>
      </c>
      <c r="AD296" s="28">
        <f t="shared" si="109"/>
        <v>1</v>
      </c>
      <c r="AE296" s="28">
        <f t="shared" si="113"/>
        <v>0.13500000000000001</v>
      </c>
      <c r="AF296" s="28">
        <f t="shared" si="114"/>
        <v>2574.27</v>
      </c>
      <c r="AG296" s="28">
        <f t="shared" si="102"/>
        <v>0</v>
      </c>
      <c r="AH296" s="28">
        <v>314</v>
      </c>
      <c r="AI296" s="28">
        <f t="shared" si="115"/>
        <v>0</v>
      </c>
      <c r="AJ296" s="28">
        <f t="shared" si="108"/>
        <v>2259.6849999999999</v>
      </c>
      <c r="AK296" s="30">
        <f>'Report Inputs'!$F$2</f>
        <v>55.9</v>
      </c>
      <c r="AL296" s="28">
        <f>'Report Inputs'!$E$2</f>
        <v>1080</v>
      </c>
      <c r="AM296" s="28">
        <f t="shared" si="116"/>
        <v>100.163</v>
      </c>
      <c r="AN296" s="26" t="s">
        <v>744</v>
      </c>
      <c r="AS296" s="26" t="s">
        <v>76</v>
      </c>
      <c r="AT296" s="26" t="s">
        <v>77</v>
      </c>
      <c r="AU296" s="26" t="s">
        <v>78</v>
      </c>
      <c r="AV296" s="31">
        <f t="shared" ca="1" si="99"/>
        <v>42376.365371064814</v>
      </c>
    </row>
    <row r="297" spans="1:48">
      <c r="A297" s="26">
        <v>7</v>
      </c>
      <c r="B297" s="26">
        <f>MONTH('Report Inputs'!$B$2)</f>
        <v>11</v>
      </c>
      <c r="C297" s="26">
        <f>YEAR('Report Inputs'!$B$2)</f>
        <v>2015</v>
      </c>
      <c r="D297" s="26">
        <v>66571</v>
      </c>
      <c r="F297" s="26" t="s">
        <v>65</v>
      </c>
      <c r="G297" s="26" t="s">
        <v>66</v>
      </c>
      <c r="H297" s="26" t="s">
        <v>67</v>
      </c>
      <c r="I297" s="26" t="s">
        <v>68</v>
      </c>
      <c r="J297" s="26" t="s">
        <v>69</v>
      </c>
      <c r="K297" s="26">
        <v>713</v>
      </c>
      <c r="L297" s="26" t="s">
        <v>70</v>
      </c>
      <c r="M297" s="26">
        <v>713</v>
      </c>
      <c r="N297" s="26" t="s">
        <v>71</v>
      </c>
      <c r="O297" s="26" t="s">
        <v>72</v>
      </c>
      <c r="P297" s="26">
        <v>45</v>
      </c>
      <c r="Q297" s="27">
        <v>18350</v>
      </c>
      <c r="R297" s="26">
        <v>0</v>
      </c>
      <c r="S297" s="26" t="s">
        <v>836</v>
      </c>
      <c r="T297" s="26" t="s">
        <v>80</v>
      </c>
      <c r="U297" s="26" t="str">
        <f t="shared" si="101"/>
        <v>PR</v>
      </c>
      <c r="V297" s="26">
        <f t="shared" si="100"/>
        <v>30</v>
      </c>
      <c r="W297" s="26" t="s">
        <v>84</v>
      </c>
      <c r="X297" s="26">
        <v>8</v>
      </c>
      <c r="Y297" s="26" t="s">
        <v>74</v>
      </c>
      <c r="Z297" s="26" t="s">
        <v>75</v>
      </c>
      <c r="AA297" s="28">
        <f t="shared" si="110"/>
        <v>0.46300000000000002</v>
      </c>
      <c r="AB297" s="28">
        <f t="shared" si="111"/>
        <v>0.434</v>
      </c>
      <c r="AC297" s="28">
        <f t="shared" si="112"/>
        <v>0.748</v>
      </c>
      <c r="AD297" s="28">
        <f t="shared" si="109"/>
        <v>1</v>
      </c>
      <c r="AE297" s="28">
        <f t="shared" si="113"/>
        <v>0.14899999999999999</v>
      </c>
      <c r="AF297" s="28">
        <f t="shared" si="114"/>
        <v>2818.07</v>
      </c>
      <c r="AG297" s="28">
        <f t="shared" si="102"/>
        <v>0</v>
      </c>
      <c r="AH297" s="28">
        <f t="shared" si="117"/>
        <v>325.166</v>
      </c>
      <c r="AI297" s="28">
        <f t="shared" si="115"/>
        <v>0</v>
      </c>
      <c r="AJ297" s="28">
        <f t="shared" si="108"/>
        <v>2492.904</v>
      </c>
      <c r="AK297" s="30">
        <f>'Report Inputs'!$F$2</f>
        <v>55.9</v>
      </c>
      <c r="AL297" s="28">
        <f>'Report Inputs'!$E$2</f>
        <v>1080</v>
      </c>
      <c r="AM297" s="28">
        <f t="shared" si="116"/>
        <v>110.501</v>
      </c>
      <c r="AN297" s="26" t="s">
        <v>744</v>
      </c>
      <c r="AS297" s="26" t="s">
        <v>76</v>
      </c>
      <c r="AT297" s="26" t="s">
        <v>77</v>
      </c>
      <c r="AU297" s="26" t="s">
        <v>78</v>
      </c>
      <c r="AV297" s="31">
        <f t="shared" ca="1" si="99"/>
        <v>42376.365371064814</v>
      </c>
    </row>
    <row r="298" spans="1:48">
      <c r="A298" s="26">
        <v>7</v>
      </c>
      <c r="B298" s="26">
        <f>MONTH('Report Inputs'!$B$2)</f>
        <v>11</v>
      </c>
      <c r="C298" s="26">
        <f>YEAR('Report Inputs'!$B$2)</f>
        <v>2015</v>
      </c>
      <c r="D298" s="26">
        <v>66571</v>
      </c>
      <c r="F298" s="26" t="s">
        <v>65</v>
      </c>
      <c r="G298" s="26" t="s">
        <v>66</v>
      </c>
      <c r="H298" s="26" t="s">
        <v>67</v>
      </c>
      <c r="I298" s="26" t="s">
        <v>68</v>
      </c>
      <c r="J298" s="26" t="s">
        <v>69</v>
      </c>
      <c r="K298" s="26">
        <v>713</v>
      </c>
      <c r="L298" s="26" t="s">
        <v>70</v>
      </c>
      <c r="M298" s="26">
        <v>713</v>
      </c>
      <c r="N298" s="26" t="s">
        <v>71</v>
      </c>
      <c r="O298" s="26" t="s">
        <v>72</v>
      </c>
      <c r="P298" s="26">
        <v>45</v>
      </c>
      <c r="Q298" s="27">
        <v>18351</v>
      </c>
      <c r="R298" s="26">
        <v>0</v>
      </c>
      <c r="S298" s="26" t="s">
        <v>837</v>
      </c>
      <c r="T298" s="26" t="s">
        <v>80</v>
      </c>
      <c r="U298" s="26" t="str">
        <f t="shared" si="101"/>
        <v>PR</v>
      </c>
      <c r="V298" s="26">
        <f t="shared" si="100"/>
        <v>29</v>
      </c>
      <c r="W298" s="26" t="s">
        <v>84</v>
      </c>
      <c r="X298" s="26">
        <v>8</v>
      </c>
      <c r="Y298" s="26" t="s">
        <v>74</v>
      </c>
      <c r="Z298" s="26" t="s">
        <v>75</v>
      </c>
      <c r="AA298" s="28">
        <f t="shared" si="110"/>
        <v>0.51600000000000001</v>
      </c>
      <c r="AB298" s="28">
        <f t="shared" si="111"/>
        <v>0.47799999999999998</v>
      </c>
      <c r="AC298" s="28">
        <f t="shared" si="112"/>
        <v>0.83</v>
      </c>
      <c r="AD298" s="28">
        <f t="shared" si="109"/>
        <v>0</v>
      </c>
      <c r="AE298" s="28">
        <f t="shared" si="113"/>
        <v>0.16400000000000001</v>
      </c>
      <c r="AF298" s="28">
        <f t="shared" si="114"/>
        <v>3088.17</v>
      </c>
      <c r="AG298" s="28">
        <f t="shared" si="102"/>
        <v>0</v>
      </c>
      <c r="AH298" s="28">
        <f t="shared" si="117"/>
        <v>336.887</v>
      </c>
      <c r="AI298" s="28">
        <f t="shared" si="115"/>
        <v>0</v>
      </c>
      <c r="AJ298" s="28">
        <f t="shared" si="108"/>
        <v>2751.2829999999999</v>
      </c>
      <c r="AK298" s="30">
        <f>'Report Inputs'!$F$2</f>
        <v>55.9</v>
      </c>
      <c r="AL298" s="28">
        <f>'Report Inputs'!$E$2</f>
        <v>1080</v>
      </c>
      <c r="AM298" s="28">
        <f t="shared" si="116"/>
        <v>121.953</v>
      </c>
      <c r="AN298" s="26" t="s">
        <v>744</v>
      </c>
      <c r="AS298" s="26" t="s">
        <v>76</v>
      </c>
      <c r="AT298" s="26" t="s">
        <v>77</v>
      </c>
      <c r="AU298" s="26" t="s">
        <v>78</v>
      </c>
      <c r="AV298" s="31">
        <f t="shared" ca="1" si="99"/>
        <v>42376.365371064814</v>
      </c>
    </row>
    <row r="299" spans="1:48">
      <c r="A299" s="26">
        <v>7</v>
      </c>
      <c r="B299" s="26">
        <f>MONTH('Report Inputs'!$B$2)</f>
        <v>11</v>
      </c>
      <c r="C299" s="26">
        <f>YEAR('Report Inputs'!$B$2)</f>
        <v>2015</v>
      </c>
      <c r="D299" s="26">
        <v>66571</v>
      </c>
      <c r="F299" s="26" t="s">
        <v>65</v>
      </c>
      <c r="G299" s="26" t="s">
        <v>66</v>
      </c>
      <c r="H299" s="26" t="s">
        <v>67</v>
      </c>
      <c r="I299" s="26" t="s">
        <v>68</v>
      </c>
      <c r="J299" s="26" t="s">
        <v>69</v>
      </c>
      <c r="K299" s="26">
        <v>713</v>
      </c>
      <c r="L299" s="26" t="s">
        <v>70</v>
      </c>
      <c r="M299" s="26">
        <v>713</v>
      </c>
      <c r="N299" s="26" t="s">
        <v>71</v>
      </c>
      <c r="O299" s="26" t="s">
        <v>72</v>
      </c>
      <c r="P299" s="26">
        <v>45</v>
      </c>
      <c r="Q299" s="27">
        <v>18352</v>
      </c>
      <c r="R299" s="26">
        <v>0</v>
      </c>
      <c r="S299" s="26" t="s">
        <v>841</v>
      </c>
      <c r="T299" s="26" t="s">
        <v>80</v>
      </c>
      <c r="U299" s="26" t="str">
        <f t="shared" si="101"/>
        <v>PR</v>
      </c>
      <c r="V299" s="26">
        <f t="shared" si="100"/>
        <v>30</v>
      </c>
      <c r="W299" s="26" t="s">
        <v>84</v>
      </c>
      <c r="X299" s="26">
        <v>8</v>
      </c>
      <c r="Y299" s="26" t="s">
        <v>74</v>
      </c>
      <c r="Z299" s="26" t="s">
        <v>75</v>
      </c>
      <c r="AA299" s="28">
        <f t="shared" si="110"/>
        <v>0.64</v>
      </c>
      <c r="AB299" s="28">
        <f t="shared" si="111"/>
        <v>0.57899999999999996</v>
      </c>
      <c r="AC299" s="28">
        <f t="shared" si="112"/>
        <v>1.02</v>
      </c>
      <c r="AD299" s="28">
        <f t="shared" si="109"/>
        <v>-1</v>
      </c>
      <c r="AE299" s="28">
        <f t="shared" si="113"/>
        <v>0.19900000000000001</v>
      </c>
      <c r="AF299" s="28">
        <f t="shared" si="114"/>
        <v>3692.27</v>
      </c>
      <c r="AG299" s="28">
        <f t="shared" si="102"/>
        <v>0</v>
      </c>
      <c r="AH299" s="28">
        <f t="shared" si="117"/>
        <v>363.10399999999998</v>
      </c>
      <c r="AI299" s="28">
        <f t="shared" si="115"/>
        <v>0</v>
      </c>
      <c r="AJ299" s="28">
        <f t="shared" si="108"/>
        <v>3329.1660000000002</v>
      </c>
      <c r="AK299" s="30">
        <f>'Report Inputs'!$F$2</f>
        <v>55.9</v>
      </c>
      <c r="AL299" s="28">
        <f>'Report Inputs'!$E$2</f>
        <v>1080</v>
      </c>
      <c r="AM299" s="28">
        <f t="shared" si="116"/>
        <v>147.56899999999999</v>
      </c>
      <c r="AN299" s="26" t="s">
        <v>744</v>
      </c>
      <c r="AS299" s="26" t="s">
        <v>76</v>
      </c>
      <c r="AT299" s="26" t="s">
        <v>77</v>
      </c>
      <c r="AU299" s="26" t="s">
        <v>78</v>
      </c>
      <c r="AV299" s="31">
        <f t="shared" ca="1" si="99"/>
        <v>42376.365371064814</v>
      </c>
    </row>
    <row r="300" spans="1:48">
      <c r="A300" s="26">
        <v>7</v>
      </c>
      <c r="B300" s="26">
        <f>MONTH('Report Inputs'!$B$2)</f>
        <v>11</v>
      </c>
      <c r="C300" s="26">
        <f>YEAR('Report Inputs'!$B$2)</f>
        <v>2015</v>
      </c>
      <c r="D300" s="26">
        <v>66571</v>
      </c>
      <c r="F300" s="26" t="s">
        <v>65</v>
      </c>
      <c r="G300" s="26" t="s">
        <v>66</v>
      </c>
      <c r="H300" s="26" t="s">
        <v>67</v>
      </c>
      <c r="I300" s="26" t="s">
        <v>68</v>
      </c>
      <c r="J300" s="26" t="s">
        <v>69</v>
      </c>
      <c r="K300" s="26">
        <v>713</v>
      </c>
      <c r="L300" s="26" t="s">
        <v>70</v>
      </c>
      <c r="M300" s="26">
        <v>713</v>
      </c>
      <c r="N300" s="26" t="s">
        <v>71</v>
      </c>
      <c r="O300" s="26" t="s">
        <v>72</v>
      </c>
      <c r="P300" s="26">
        <v>45</v>
      </c>
      <c r="Q300" s="27">
        <v>18353</v>
      </c>
      <c r="R300" s="26">
        <v>0</v>
      </c>
      <c r="S300" s="26" t="s">
        <v>840</v>
      </c>
      <c r="T300" s="26" t="s">
        <v>80</v>
      </c>
      <c r="U300" s="26" t="str">
        <f t="shared" si="101"/>
        <v>PR</v>
      </c>
      <c r="V300" s="26">
        <f t="shared" si="100"/>
        <v>30</v>
      </c>
      <c r="W300" s="26" t="s">
        <v>84</v>
      </c>
      <c r="X300" s="26">
        <v>8</v>
      </c>
      <c r="Y300" s="26" t="s">
        <v>74</v>
      </c>
      <c r="Z300" s="26" t="s">
        <v>75</v>
      </c>
      <c r="AA300" s="28">
        <f t="shared" si="110"/>
        <v>0.65200000000000002</v>
      </c>
      <c r="AB300" s="28">
        <f t="shared" si="111"/>
        <v>0.62</v>
      </c>
      <c r="AC300" s="28">
        <f t="shared" si="112"/>
        <v>1.0609999999999999</v>
      </c>
      <c r="AD300" s="28">
        <f t="shared" si="109"/>
        <v>-1</v>
      </c>
      <c r="AE300" s="28">
        <f t="shared" si="113"/>
        <v>0.21099999999999999</v>
      </c>
      <c r="AF300" s="28">
        <f t="shared" si="114"/>
        <v>3939.97</v>
      </c>
      <c r="AG300" s="28">
        <f t="shared" si="102"/>
        <v>0</v>
      </c>
      <c r="AH300" s="28">
        <f t="shared" si="117"/>
        <v>373.85399999999998</v>
      </c>
      <c r="AI300" s="28">
        <f t="shared" si="115"/>
        <v>0</v>
      </c>
      <c r="AJ300" s="28">
        <f t="shared" si="108"/>
        <v>3566.116</v>
      </c>
      <c r="AK300" s="30">
        <f>'Report Inputs'!$F$2</f>
        <v>55.9</v>
      </c>
      <c r="AL300" s="28">
        <f>'Report Inputs'!$E$2</f>
        <v>1080</v>
      </c>
      <c r="AM300" s="28">
        <f t="shared" si="116"/>
        <v>158.071</v>
      </c>
      <c r="AN300" s="26" t="s">
        <v>744</v>
      </c>
      <c r="AS300" s="26" t="s">
        <v>76</v>
      </c>
      <c r="AT300" s="26" t="s">
        <v>77</v>
      </c>
      <c r="AU300" s="26" t="s">
        <v>78</v>
      </c>
      <c r="AV300" s="31">
        <f t="shared" ca="1" si="99"/>
        <v>42376.365371064814</v>
      </c>
    </row>
    <row r="301" spans="1:48">
      <c r="A301" s="26">
        <v>7</v>
      </c>
      <c r="B301" s="26">
        <f>MONTH('Report Inputs'!$B$2)</f>
        <v>11</v>
      </c>
      <c r="C301" s="26">
        <f>YEAR('Report Inputs'!$B$2)</f>
        <v>2015</v>
      </c>
      <c r="D301" s="26">
        <v>66571</v>
      </c>
      <c r="F301" s="26" t="s">
        <v>65</v>
      </c>
      <c r="G301" s="26" t="s">
        <v>66</v>
      </c>
      <c r="H301" s="26" t="s">
        <v>67</v>
      </c>
      <c r="I301" s="26" t="s">
        <v>68</v>
      </c>
      <c r="J301" s="26" t="s">
        <v>69</v>
      </c>
      <c r="K301" s="26">
        <v>713</v>
      </c>
      <c r="L301" s="26" t="s">
        <v>70</v>
      </c>
      <c r="M301" s="26">
        <v>713</v>
      </c>
      <c r="N301" s="26" t="s">
        <v>71</v>
      </c>
      <c r="O301" s="26" t="s">
        <v>72</v>
      </c>
      <c r="P301" s="26">
        <v>45</v>
      </c>
      <c r="Q301" s="27">
        <v>18354</v>
      </c>
      <c r="R301" s="26">
        <v>0</v>
      </c>
      <c r="S301" s="26" t="s">
        <v>847</v>
      </c>
      <c r="T301" s="26" t="s">
        <v>80</v>
      </c>
      <c r="U301" s="26" t="str">
        <f t="shared" si="101"/>
        <v>PR</v>
      </c>
      <c r="V301" s="26">
        <f t="shared" si="100"/>
        <v>30</v>
      </c>
      <c r="W301" s="26" t="s">
        <v>84</v>
      </c>
      <c r="X301" s="26">
        <v>8</v>
      </c>
      <c r="Y301" s="26" t="s">
        <v>74</v>
      </c>
      <c r="Z301" s="26" t="s">
        <v>75</v>
      </c>
      <c r="AA301" s="28">
        <f t="shared" si="110"/>
        <v>0.55800000000000005</v>
      </c>
      <c r="AB301" s="28">
        <f t="shared" si="111"/>
        <v>0.503</v>
      </c>
      <c r="AC301" s="28">
        <f t="shared" si="112"/>
        <v>0.88700000000000001</v>
      </c>
      <c r="AD301" s="28">
        <f t="shared" si="109"/>
        <v>-1</v>
      </c>
      <c r="AE301" s="28">
        <f t="shared" si="113"/>
        <v>0.17399999999999999</v>
      </c>
      <c r="AF301" s="28">
        <f t="shared" si="114"/>
        <v>3233.27</v>
      </c>
      <c r="AG301" s="28">
        <f t="shared" si="102"/>
        <v>0</v>
      </c>
      <c r="AH301" s="28">
        <f t="shared" si="117"/>
        <v>343.18400000000003</v>
      </c>
      <c r="AI301" s="28">
        <f t="shared" si="115"/>
        <v>0</v>
      </c>
      <c r="AJ301" s="28">
        <f t="shared" si="108"/>
        <v>2890.0859999999998</v>
      </c>
      <c r="AK301" s="30">
        <f>'Report Inputs'!$F$2</f>
        <v>55.9</v>
      </c>
      <c r="AL301" s="28">
        <f>'Report Inputs'!$E$2</f>
        <v>1080</v>
      </c>
      <c r="AM301" s="28">
        <f t="shared" si="116"/>
        <v>128.10599999999999</v>
      </c>
      <c r="AN301" s="26" t="s">
        <v>744</v>
      </c>
      <c r="AS301" s="26" t="s">
        <v>76</v>
      </c>
      <c r="AT301" s="26" t="s">
        <v>77</v>
      </c>
      <c r="AU301" s="26" t="s">
        <v>78</v>
      </c>
      <c r="AV301" s="31">
        <f t="shared" ca="1" si="99"/>
        <v>42376.365371064814</v>
      </c>
    </row>
    <row r="302" spans="1:48">
      <c r="A302" s="26">
        <v>7</v>
      </c>
      <c r="B302" s="26">
        <f>MONTH('Report Inputs'!$B$2)</f>
        <v>11</v>
      </c>
      <c r="C302" s="26">
        <f>YEAR('Report Inputs'!$B$2)</f>
        <v>2015</v>
      </c>
      <c r="D302" s="26">
        <v>66571</v>
      </c>
      <c r="F302" s="26" t="s">
        <v>65</v>
      </c>
      <c r="G302" s="26" t="s">
        <v>66</v>
      </c>
      <c r="H302" s="26" t="s">
        <v>67</v>
      </c>
      <c r="I302" s="26" t="s">
        <v>68</v>
      </c>
      <c r="J302" s="26" t="s">
        <v>69</v>
      </c>
      <c r="K302" s="26">
        <v>713</v>
      </c>
      <c r="L302" s="26" t="s">
        <v>70</v>
      </c>
      <c r="M302" s="26">
        <v>713</v>
      </c>
      <c r="N302" s="26" t="s">
        <v>71</v>
      </c>
      <c r="O302" s="26" t="s">
        <v>72</v>
      </c>
      <c r="P302" s="26">
        <v>45</v>
      </c>
      <c r="Q302" s="27">
        <v>18365</v>
      </c>
      <c r="R302" s="26">
        <v>0</v>
      </c>
      <c r="S302" s="26" t="s">
        <v>792</v>
      </c>
      <c r="T302" s="26" t="s">
        <v>80</v>
      </c>
      <c r="U302" s="26" t="str">
        <f t="shared" si="101"/>
        <v>PR</v>
      </c>
      <c r="V302" s="26">
        <f t="shared" si="100"/>
        <v>30</v>
      </c>
      <c r="W302" s="26" t="s">
        <v>73</v>
      </c>
      <c r="X302" s="26">
        <v>9</v>
      </c>
      <c r="Y302" s="26" t="s">
        <v>74</v>
      </c>
      <c r="Z302" s="26" t="s">
        <v>75</v>
      </c>
      <c r="AA302" s="28">
        <f t="shared" si="110"/>
        <v>0.40600000000000003</v>
      </c>
      <c r="AB302" s="28">
        <f t="shared" si="111"/>
        <v>8.8379999999999992</v>
      </c>
      <c r="AC302" s="28">
        <f t="shared" si="112"/>
        <v>8.7720000000000002</v>
      </c>
      <c r="AD302" s="28">
        <f t="shared" si="109"/>
        <v>0</v>
      </c>
      <c r="AE302" s="28">
        <f t="shared" si="113"/>
        <v>0.47199999999999998</v>
      </c>
      <c r="AF302" s="28">
        <f t="shared" si="114"/>
        <v>3306.18</v>
      </c>
      <c r="AG302" s="28">
        <f t="shared" si="102"/>
        <v>1.69</v>
      </c>
      <c r="AH302" s="28">
        <v>350</v>
      </c>
      <c r="AI302" s="28">
        <f t="shared" si="115"/>
        <v>0</v>
      </c>
      <c r="AJ302" s="28">
        <f t="shared" si="108"/>
        <v>2953.7950000000001</v>
      </c>
      <c r="AK302" s="30">
        <f>'Report Inputs'!$F$2</f>
        <v>55.9</v>
      </c>
      <c r="AL302" s="28">
        <f>'Report Inputs'!$E$2</f>
        <v>1080</v>
      </c>
      <c r="AM302" s="28">
        <f t="shared" si="116"/>
        <v>58.366999999999997</v>
      </c>
      <c r="AN302" s="26" t="s">
        <v>744</v>
      </c>
      <c r="AS302" s="26" t="s">
        <v>76</v>
      </c>
      <c r="AT302" s="26" t="s">
        <v>77</v>
      </c>
      <c r="AU302" s="26" t="s">
        <v>78</v>
      </c>
      <c r="AV302" s="31">
        <f t="shared" ca="1" si="99"/>
        <v>42376.365371064814</v>
      </c>
    </row>
    <row r="303" spans="1:48">
      <c r="A303" s="26">
        <v>7</v>
      </c>
      <c r="B303" s="26">
        <f>MONTH('Report Inputs'!$B$2)</f>
        <v>11</v>
      </c>
      <c r="C303" s="26">
        <f>YEAR('Report Inputs'!$B$2)</f>
        <v>2015</v>
      </c>
      <c r="D303" s="26">
        <v>66571</v>
      </c>
      <c r="F303" s="26" t="s">
        <v>65</v>
      </c>
      <c r="G303" s="26" t="s">
        <v>66</v>
      </c>
      <c r="H303" s="26" t="s">
        <v>67</v>
      </c>
      <c r="I303" s="26" t="s">
        <v>68</v>
      </c>
      <c r="J303" s="26" t="s">
        <v>69</v>
      </c>
      <c r="K303" s="26">
        <v>713</v>
      </c>
      <c r="L303" s="26" t="s">
        <v>70</v>
      </c>
      <c r="M303" s="26">
        <v>713</v>
      </c>
      <c r="N303" s="26" t="s">
        <v>71</v>
      </c>
      <c r="O303" s="26" t="s">
        <v>72</v>
      </c>
      <c r="P303" s="26">
        <v>45</v>
      </c>
      <c r="Q303" s="27">
        <v>18366</v>
      </c>
      <c r="R303" s="26">
        <v>0</v>
      </c>
      <c r="S303" s="26" t="s">
        <v>789</v>
      </c>
      <c r="T303" s="26" t="s">
        <v>80</v>
      </c>
      <c r="U303" s="26" t="str">
        <f t="shared" si="101"/>
        <v>PR</v>
      </c>
      <c r="V303" s="26">
        <f t="shared" si="100"/>
        <v>30</v>
      </c>
      <c r="W303" s="26" t="s">
        <v>73</v>
      </c>
      <c r="X303" s="26">
        <v>9</v>
      </c>
      <c r="Y303" s="26" t="s">
        <v>74</v>
      </c>
      <c r="Z303" s="26" t="s">
        <v>75</v>
      </c>
      <c r="AA303" s="28">
        <f t="shared" si="110"/>
        <v>0.46800000000000003</v>
      </c>
      <c r="AB303" s="28">
        <f t="shared" si="111"/>
        <v>9.8179999999999996</v>
      </c>
      <c r="AC303" s="28">
        <f t="shared" si="112"/>
        <v>9.7620000000000005</v>
      </c>
      <c r="AD303" s="28">
        <f t="shared" si="109"/>
        <v>1</v>
      </c>
      <c r="AE303" s="28">
        <f t="shared" si="113"/>
        <v>0.52400000000000002</v>
      </c>
      <c r="AF303" s="28">
        <f t="shared" si="114"/>
        <v>3644.25</v>
      </c>
      <c r="AG303" s="28">
        <f t="shared" si="102"/>
        <v>1.88</v>
      </c>
      <c r="AH303" s="28">
        <f t="shared" si="117"/>
        <v>360.93900000000002</v>
      </c>
      <c r="AI303" s="28">
        <f t="shared" si="115"/>
        <v>0</v>
      </c>
      <c r="AJ303" s="28">
        <f t="shared" si="108"/>
        <v>3281.431</v>
      </c>
      <c r="AK303" s="30">
        <f>'Report Inputs'!$F$2</f>
        <v>55.9</v>
      </c>
      <c r="AL303" s="28">
        <f>'Report Inputs'!$E$2</f>
        <v>1080</v>
      </c>
      <c r="AM303" s="28">
        <f t="shared" si="116"/>
        <v>64.840999999999994</v>
      </c>
      <c r="AN303" s="26" t="s">
        <v>744</v>
      </c>
      <c r="AS303" s="26" t="s">
        <v>76</v>
      </c>
      <c r="AT303" s="26" t="s">
        <v>77</v>
      </c>
      <c r="AU303" s="26" t="s">
        <v>78</v>
      </c>
      <c r="AV303" s="31">
        <f t="shared" ca="1" si="99"/>
        <v>42376.365371064814</v>
      </c>
    </row>
    <row r="304" spans="1:48">
      <c r="A304" s="26">
        <v>7</v>
      </c>
      <c r="B304" s="26">
        <f>MONTH('Report Inputs'!$B$2)</f>
        <v>11</v>
      </c>
      <c r="C304" s="26">
        <f>YEAR('Report Inputs'!$B$2)</f>
        <v>2015</v>
      </c>
      <c r="D304" s="26">
        <v>66571</v>
      </c>
      <c r="F304" s="26" t="s">
        <v>65</v>
      </c>
      <c r="G304" s="26" t="s">
        <v>66</v>
      </c>
      <c r="H304" s="26" t="s">
        <v>67</v>
      </c>
      <c r="I304" s="26" t="s">
        <v>68</v>
      </c>
      <c r="J304" s="26" t="s">
        <v>69</v>
      </c>
      <c r="K304" s="26">
        <v>713</v>
      </c>
      <c r="L304" s="26" t="s">
        <v>70</v>
      </c>
      <c r="M304" s="26">
        <v>713</v>
      </c>
      <c r="N304" s="26" t="s">
        <v>71</v>
      </c>
      <c r="O304" s="26" t="s">
        <v>72</v>
      </c>
      <c r="P304" s="26">
        <v>45</v>
      </c>
      <c r="Q304" s="27">
        <v>18367</v>
      </c>
      <c r="R304" s="26">
        <v>0</v>
      </c>
      <c r="S304" s="26" t="s">
        <v>896</v>
      </c>
      <c r="T304" s="26" t="s">
        <v>80</v>
      </c>
      <c r="U304" s="26" t="str">
        <f t="shared" si="101"/>
        <v>PR</v>
      </c>
      <c r="V304" s="26">
        <f t="shared" si="100"/>
        <v>30</v>
      </c>
      <c r="W304" s="26" t="s">
        <v>90</v>
      </c>
      <c r="X304" s="26">
        <v>9</v>
      </c>
      <c r="Y304" s="26" t="s">
        <v>74</v>
      </c>
      <c r="Z304" s="26" t="s">
        <v>75</v>
      </c>
      <c r="AA304" s="28">
        <f t="shared" si="110"/>
        <v>1.0149999999999999</v>
      </c>
      <c r="AB304" s="28">
        <f t="shared" si="111"/>
        <v>1.484</v>
      </c>
      <c r="AC304" s="28">
        <f t="shared" si="112"/>
        <v>2.1419999999999999</v>
      </c>
      <c r="AD304" s="28">
        <f t="shared" si="109"/>
        <v>0</v>
      </c>
      <c r="AE304" s="28">
        <f t="shared" si="113"/>
        <v>0.35699999999999998</v>
      </c>
      <c r="AF304" s="28">
        <f t="shared" si="114"/>
        <v>6204.37</v>
      </c>
      <c r="AG304" s="28">
        <f t="shared" si="102"/>
        <v>0.1</v>
      </c>
      <c r="AH304" s="28">
        <f t="shared" si="117"/>
        <v>472.12</v>
      </c>
      <c r="AI304" s="28">
        <f t="shared" si="115"/>
        <v>0</v>
      </c>
      <c r="AJ304" s="28">
        <f t="shared" si="108"/>
        <v>5732.15</v>
      </c>
      <c r="AK304" s="30">
        <f>'Report Inputs'!$F$2</f>
        <v>55.9</v>
      </c>
      <c r="AL304" s="28">
        <f>'Report Inputs'!$E$2</f>
        <v>1080</v>
      </c>
      <c r="AM304" s="28">
        <f t="shared" si="116"/>
        <v>283.017</v>
      </c>
      <c r="AN304" s="26" t="s">
        <v>744</v>
      </c>
      <c r="AS304" s="26" t="s">
        <v>76</v>
      </c>
      <c r="AT304" s="26" t="s">
        <v>77</v>
      </c>
      <c r="AU304" s="26" t="s">
        <v>78</v>
      </c>
      <c r="AV304" s="31">
        <f t="shared" ca="1" si="99"/>
        <v>42376.365371064814</v>
      </c>
    </row>
    <row r="305" spans="1:48">
      <c r="A305" s="26">
        <v>7</v>
      </c>
      <c r="B305" s="26">
        <f>MONTH('Report Inputs'!$B$2)</f>
        <v>11</v>
      </c>
      <c r="C305" s="26">
        <f>YEAR('Report Inputs'!$B$2)</f>
        <v>2015</v>
      </c>
      <c r="D305" s="26">
        <v>66571</v>
      </c>
      <c r="F305" s="26" t="s">
        <v>65</v>
      </c>
      <c r="G305" s="26" t="s">
        <v>66</v>
      </c>
      <c r="H305" s="26" t="s">
        <v>67</v>
      </c>
      <c r="I305" s="26" t="s">
        <v>68</v>
      </c>
      <c r="J305" s="26" t="s">
        <v>69</v>
      </c>
      <c r="K305" s="26">
        <v>713</v>
      </c>
      <c r="L305" s="26" t="s">
        <v>70</v>
      </c>
      <c r="M305" s="26">
        <v>713</v>
      </c>
      <c r="N305" s="26" t="s">
        <v>71</v>
      </c>
      <c r="O305" s="26" t="s">
        <v>72</v>
      </c>
      <c r="P305" s="26">
        <v>45</v>
      </c>
      <c r="Q305" s="27">
        <v>18386</v>
      </c>
      <c r="R305" s="26">
        <v>0</v>
      </c>
      <c r="S305" s="26" t="s">
        <v>797</v>
      </c>
      <c r="T305" s="26" t="s">
        <v>80</v>
      </c>
      <c r="U305" s="26" t="str">
        <f t="shared" si="101"/>
        <v>PR</v>
      </c>
      <c r="V305" s="26">
        <f t="shared" si="100"/>
        <v>30</v>
      </c>
      <c r="W305" s="26" t="s">
        <v>854</v>
      </c>
      <c r="X305" s="26">
        <v>3</v>
      </c>
      <c r="Y305" s="26" t="s">
        <v>194</v>
      </c>
      <c r="Z305" s="26" t="s">
        <v>75</v>
      </c>
      <c r="AA305" s="28">
        <f t="shared" si="110"/>
        <v>0.96099999999999997</v>
      </c>
      <c r="AB305" s="28">
        <f t="shared" si="111"/>
        <v>14.984</v>
      </c>
      <c r="AC305" s="28">
        <f t="shared" si="112"/>
        <v>14.997</v>
      </c>
      <c r="AD305" s="28">
        <f t="shared" si="109"/>
        <v>0</v>
      </c>
      <c r="AE305" s="28">
        <f t="shared" si="113"/>
        <v>0.94799999999999995</v>
      </c>
      <c r="AF305" s="28">
        <f t="shared" si="114"/>
        <v>8342.24</v>
      </c>
      <c r="AG305" s="28">
        <f t="shared" si="102"/>
        <v>2.77</v>
      </c>
      <c r="AH305" s="28">
        <v>564</v>
      </c>
      <c r="AI305" s="28">
        <f t="shared" si="115"/>
        <v>0</v>
      </c>
      <c r="AJ305" s="28">
        <f t="shared" si="108"/>
        <v>7774.6859999999997</v>
      </c>
      <c r="AK305" s="30">
        <f>'Report Inputs'!$F$2</f>
        <v>55.9</v>
      </c>
      <c r="AL305" s="28">
        <f>'Report Inputs'!$E$2</f>
        <v>1080</v>
      </c>
      <c r="AM305" s="28">
        <f t="shared" si="116"/>
        <v>36.365000000000002</v>
      </c>
      <c r="AN305" s="26" t="s">
        <v>744</v>
      </c>
      <c r="AS305" s="26" t="s">
        <v>76</v>
      </c>
      <c r="AT305" s="26" t="s">
        <v>77</v>
      </c>
      <c r="AU305" s="26" t="s">
        <v>78</v>
      </c>
      <c r="AV305" s="31">
        <f t="shared" ca="1" si="99"/>
        <v>42376.365371064814</v>
      </c>
    </row>
    <row r="306" spans="1:48">
      <c r="A306" s="26">
        <v>7</v>
      </c>
      <c r="B306" s="26">
        <f>MONTH('Report Inputs'!$B$2)</f>
        <v>11</v>
      </c>
      <c r="C306" s="26">
        <f>YEAR('Report Inputs'!$B$2)</f>
        <v>2015</v>
      </c>
      <c r="D306" s="26">
        <v>66571</v>
      </c>
      <c r="F306" s="26" t="s">
        <v>65</v>
      </c>
      <c r="G306" s="26" t="s">
        <v>66</v>
      </c>
      <c r="H306" s="26" t="s">
        <v>67</v>
      </c>
      <c r="I306" s="26" t="s">
        <v>68</v>
      </c>
      <c r="J306" s="26" t="s">
        <v>69</v>
      </c>
      <c r="K306" s="26">
        <v>713</v>
      </c>
      <c r="L306" s="26" t="s">
        <v>70</v>
      </c>
      <c r="M306" s="26">
        <v>713</v>
      </c>
      <c r="N306" s="26" t="s">
        <v>71</v>
      </c>
      <c r="O306" s="26" t="s">
        <v>72</v>
      </c>
      <c r="P306" s="26">
        <v>45</v>
      </c>
      <c r="Q306" s="27">
        <v>18730</v>
      </c>
      <c r="R306" s="26">
        <v>0</v>
      </c>
      <c r="S306" s="26" t="s">
        <v>846</v>
      </c>
      <c r="T306" s="26" t="s">
        <v>80</v>
      </c>
      <c r="U306" s="26" t="str">
        <f t="shared" si="101"/>
        <v>PR</v>
      </c>
      <c r="V306" s="26">
        <f t="shared" si="100"/>
        <v>30</v>
      </c>
      <c r="W306" s="26" t="s">
        <v>94</v>
      </c>
      <c r="X306" s="26">
        <v>8</v>
      </c>
      <c r="Y306" s="26" t="s">
        <v>74</v>
      </c>
      <c r="Z306" s="26" t="s">
        <v>75</v>
      </c>
      <c r="AA306" s="28">
        <f t="shared" si="110"/>
        <v>6.3E-2</v>
      </c>
      <c r="AB306" s="28">
        <f t="shared" si="111"/>
        <v>6.4000000000000001E-2</v>
      </c>
      <c r="AC306" s="28">
        <f t="shared" si="112"/>
        <v>0.105</v>
      </c>
      <c r="AD306" s="28">
        <f t="shared" si="109"/>
        <v>0</v>
      </c>
      <c r="AE306" s="28">
        <f t="shared" si="113"/>
        <v>2.1999999999999999E-2</v>
      </c>
      <c r="AF306" s="28">
        <f t="shared" si="114"/>
        <v>580.6</v>
      </c>
      <c r="AG306" s="28">
        <f t="shared" si="102"/>
        <v>0</v>
      </c>
      <c r="AH306" s="28">
        <f t="shared" si="117"/>
        <v>214.50800000000001</v>
      </c>
      <c r="AI306" s="28">
        <f t="shared" si="115"/>
        <v>0</v>
      </c>
      <c r="AJ306" s="28">
        <f t="shared" si="108"/>
        <v>366.09199999999998</v>
      </c>
      <c r="AL306" s="28">
        <f>'Report Inputs'!$E$2</f>
        <v>1080</v>
      </c>
      <c r="AM306" s="28">
        <f t="shared" si="116"/>
        <v>11.241</v>
      </c>
      <c r="AN306" s="26" t="s">
        <v>744</v>
      </c>
      <c r="AS306" s="26" t="s">
        <v>76</v>
      </c>
      <c r="AT306" s="26" t="s">
        <v>77</v>
      </c>
      <c r="AU306" s="26" t="s">
        <v>78</v>
      </c>
      <c r="AV306" s="31">
        <f t="shared" ca="1" si="99"/>
        <v>42376.365371064814</v>
      </c>
    </row>
    <row r="307" spans="1:48">
      <c r="A307" s="26">
        <v>7</v>
      </c>
      <c r="B307" s="26">
        <f>MONTH('Report Inputs'!$B$2)</f>
        <v>11</v>
      </c>
      <c r="C307" s="26">
        <f>YEAR('Report Inputs'!$B$2)</f>
        <v>2015</v>
      </c>
      <c r="D307" s="26">
        <v>66571</v>
      </c>
      <c r="F307" s="26" t="s">
        <v>65</v>
      </c>
      <c r="G307" s="26" t="s">
        <v>66</v>
      </c>
      <c r="H307" s="26" t="s">
        <v>67</v>
      </c>
      <c r="I307" s="26" t="s">
        <v>68</v>
      </c>
      <c r="J307" s="26" t="s">
        <v>69</v>
      </c>
      <c r="K307" s="26">
        <v>713</v>
      </c>
      <c r="L307" s="26" t="s">
        <v>70</v>
      </c>
      <c r="M307" s="26">
        <v>713</v>
      </c>
      <c r="N307" s="26" t="s">
        <v>71</v>
      </c>
      <c r="O307" s="26" t="s">
        <v>72</v>
      </c>
      <c r="P307" s="26">
        <v>45</v>
      </c>
      <c r="Q307" s="27">
        <v>18731</v>
      </c>
      <c r="R307" s="26">
        <v>0</v>
      </c>
      <c r="S307" s="26" t="s">
        <v>886</v>
      </c>
      <c r="T307" s="26" t="s">
        <v>80</v>
      </c>
      <c r="U307" s="26" t="str">
        <f t="shared" si="101"/>
        <v>PR</v>
      </c>
      <c r="V307" s="26">
        <f t="shared" si="100"/>
        <v>30</v>
      </c>
      <c r="W307" s="26" t="s">
        <v>94</v>
      </c>
      <c r="X307" s="26">
        <v>8</v>
      </c>
      <c r="Y307" s="26" t="s">
        <v>74</v>
      </c>
      <c r="Z307" s="26" t="s">
        <v>75</v>
      </c>
      <c r="AA307" s="28">
        <f t="shared" si="110"/>
        <v>0.54400000000000004</v>
      </c>
      <c r="AB307" s="28">
        <f t="shared" si="111"/>
        <v>0.59499999999999997</v>
      </c>
      <c r="AC307" s="28">
        <f t="shared" si="112"/>
        <v>0.93700000000000006</v>
      </c>
      <c r="AD307" s="28">
        <f t="shared" si="109"/>
        <v>-1</v>
      </c>
      <c r="AE307" s="28">
        <f t="shared" si="113"/>
        <v>0.20200000000000001</v>
      </c>
      <c r="AF307" s="28">
        <f t="shared" si="114"/>
        <v>3704.17</v>
      </c>
      <c r="AG307" s="28">
        <f t="shared" si="102"/>
        <v>0</v>
      </c>
      <c r="AH307" s="28">
        <f t="shared" si="117"/>
        <v>287.09199999999998</v>
      </c>
      <c r="AI307" s="28">
        <f t="shared" si="115"/>
        <v>0</v>
      </c>
      <c r="AJ307" s="28">
        <f t="shared" si="108"/>
        <v>3417.078</v>
      </c>
      <c r="AK307" s="30">
        <f>'Report Inputs'!$F$2</f>
        <v>55.9</v>
      </c>
      <c r="AL307" s="28">
        <f>'Report Inputs'!$E$2</f>
        <v>1080</v>
      </c>
      <c r="AM307" s="28">
        <f t="shared" si="116"/>
        <v>104.93</v>
      </c>
      <c r="AN307" s="26" t="s">
        <v>744</v>
      </c>
      <c r="AS307" s="26" t="s">
        <v>76</v>
      </c>
      <c r="AT307" s="26" t="s">
        <v>77</v>
      </c>
      <c r="AU307" s="26" t="s">
        <v>78</v>
      </c>
      <c r="AV307" s="31">
        <f t="shared" ca="1" si="99"/>
        <v>42376.365371064814</v>
      </c>
    </row>
    <row r="308" spans="1:48">
      <c r="A308" s="26">
        <v>7</v>
      </c>
      <c r="B308" s="26">
        <f>MONTH('Report Inputs'!$B$2)</f>
        <v>11</v>
      </c>
      <c r="C308" s="26">
        <f>YEAR('Report Inputs'!$B$2)</f>
        <v>2015</v>
      </c>
      <c r="D308" s="26">
        <v>66571</v>
      </c>
      <c r="F308" s="26" t="s">
        <v>65</v>
      </c>
      <c r="G308" s="26" t="s">
        <v>66</v>
      </c>
      <c r="H308" s="26" t="s">
        <v>67</v>
      </c>
      <c r="I308" s="26" t="s">
        <v>68</v>
      </c>
      <c r="J308" s="26" t="s">
        <v>69</v>
      </c>
      <c r="K308" s="26">
        <v>713</v>
      </c>
      <c r="L308" s="26" t="s">
        <v>70</v>
      </c>
      <c r="M308" s="26">
        <v>713</v>
      </c>
      <c r="N308" s="26" t="s">
        <v>71</v>
      </c>
      <c r="O308" s="26" t="s">
        <v>72</v>
      </c>
      <c r="P308" s="26">
        <v>45</v>
      </c>
      <c r="Q308" s="27">
        <v>18732</v>
      </c>
      <c r="R308" s="26">
        <v>0</v>
      </c>
      <c r="S308" s="26" t="s">
        <v>868</v>
      </c>
      <c r="T308" s="26" t="s">
        <v>80</v>
      </c>
      <c r="U308" s="26" t="str">
        <f t="shared" si="101"/>
        <v>PR</v>
      </c>
      <c r="V308" s="26">
        <f t="shared" si="100"/>
        <v>30</v>
      </c>
      <c r="W308" s="26" t="s">
        <v>94</v>
      </c>
      <c r="X308" s="26">
        <v>8</v>
      </c>
      <c r="Y308" s="26" t="s">
        <v>74</v>
      </c>
      <c r="Z308" s="26" t="s">
        <v>75</v>
      </c>
      <c r="AA308" s="28">
        <f t="shared" si="110"/>
        <v>0.51600000000000001</v>
      </c>
      <c r="AB308" s="28">
        <f t="shared" si="111"/>
        <v>0.54400000000000004</v>
      </c>
      <c r="AC308" s="28">
        <f t="shared" si="112"/>
        <v>0.874</v>
      </c>
      <c r="AD308" s="28">
        <f t="shared" si="109"/>
        <v>-1</v>
      </c>
      <c r="AE308" s="28">
        <f t="shared" si="113"/>
        <v>0.186</v>
      </c>
      <c r="AF308" s="28">
        <f t="shared" si="114"/>
        <v>3461.7</v>
      </c>
      <c r="AG308" s="28">
        <f t="shared" si="102"/>
        <v>0</v>
      </c>
      <c r="AH308" s="28">
        <f t="shared" si="117"/>
        <v>339.54300000000001</v>
      </c>
      <c r="AI308" s="28">
        <f t="shared" si="115"/>
        <v>0</v>
      </c>
      <c r="AJ308" s="28">
        <f t="shared" si="108"/>
        <v>3122.1570000000002</v>
      </c>
      <c r="AK308" s="30">
        <f>'Report Inputs'!$F$2</f>
        <v>55.9</v>
      </c>
      <c r="AL308" s="28">
        <f>'Report Inputs'!$E$2</f>
        <v>1080</v>
      </c>
      <c r="AM308" s="28">
        <f t="shared" si="116"/>
        <v>95.873999999999995</v>
      </c>
      <c r="AN308" s="26" t="s">
        <v>744</v>
      </c>
      <c r="AS308" s="26" t="s">
        <v>76</v>
      </c>
      <c r="AT308" s="26" t="s">
        <v>77</v>
      </c>
      <c r="AU308" s="26" t="s">
        <v>78</v>
      </c>
      <c r="AV308" s="31">
        <f t="shared" ca="1" si="99"/>
        <v>42376.365371064814</v>
      </c>
    </row>
    <row r="309" spans="1:48">
      <c r="A309" s="26">
        <v>7</v>
      </c>
      <c r="B309" s="26">
        <f>MONTH('Report Inputs'!$B$2)</f>
        <v>11</v>
      </c>
      <c r="C309" s="26">
        <f>YEAR('Report Inputs'!$B$2)</f>
        <v>2015</v>
      </c>
      <c r="D309" s="26">
        <v>66571</v>
      </c>
      <c r="F309" s="26" t="s">
        <v>65</v>
      </c>
      <c r="G309" s="26" t="s">
        <v>66</v>
      </c>
      <c r="H309" s="26" t="s">
        <v>67</v>
      </c>
      <c r="I309" s="26" t="s">
        <v>68</v>
      </c>
      <c r="J309" s="26" t="s">
        <v>69</v>
      </c>
      <c r="K309" s="26">
        <v>713</v>
      </c>
      <c r="L309" s="26" t="s">
        <v>70</v>
      </c>
      <c r="M309" s="26">
        <v>713</v>
      </c>
      <c r="N309" s="26" t="s">
        <v>71</v>
      </c>
      <c r="O309" s="26" t="s">
        <v>72</v>
      </c>
      <c r="P309" s="26">
        <v>45</v>
      </c>
      <c r="Q309" s="27">
        <v>18733</v>
      </c>
      <c r="R309" s="26">
        <v>0</v>
      </c>
      <c r="S309" s="26" t="s">
        <v>877</v>
      </c>
      <c r="T309" s="26" t="s">
        <v>80</v>
      </c>
      <c r="U309" s="26" t="str">
        <f t="shared" si="101"/>
        <v>PR</v>
      </c>
      <c r="V309" s="26">
        <f t="shared" si="100"/>
        <v>30</v>
      </c>
      <c r="W309" s="26" t="s">
        <v>94</v>
      </c>
      <c r="X309" s="26">
        <v>8</v>
      </c>
      <c r="Y309" s="26" t="s">
        <v>74</v>
      </c>
      <c r="Z309" s="26" t="s">
        <v>75</v>
      </c>
      <c r="AA309" s="28">
        <f t="shared" si="110"/>
        <v>0.442</v>
      </c>
      <c r="AB309" s="28">
        <f t="shared" si="111"/>
        <v>0.42299999999999999</v>
      </c>
      <c r="AC309" s="28">
        <f t="shared" si="112"/>
        <v>0.71699999999999997</v>
      </c>
      <c r="AD309" s="28">
        <f t="shared" si="109"/>
        <v>1</v>
      </c>
      <c r="AE309" s="28">
        <f t="shared" si="113"/>
        <v>0.14799999999999999</v>
      </c>
      <c r="AF309" s="28">
        <f t="shared" si="114"/>
        <v>2740.09</v>
      </c>
      <c r="AG309" s="28">
        <f t="shared" si="102"/>
        <v>0</v>
      </c>
      <c r="AH309" s="28">
        <f t="shared" si="117"/>
        <v>310.99099999999999</v>
      </c>
      <c r="AI309" s="28">
        <f t="shared" si="115"/>
        <v>0</v>
      </c>
      <c r="AJ309" s="28">
        <f t="shared" si="108"/>
        <v>2429.0990000000002</v>
      </c>
      <c r="AK309" s="30">
        <f>'Report Inputs'!$F$2</f>
        <v>55.9</v>
      </c>
      <c r="AL309" s="28">
        <f>'Report Inputs'!$E$2</f>
        <v>1080</v>
      </c>
      <c r="AM309" s="28">
        <f t="shared" si="116"/>
        <v>74.591999999999999</v>
      </c>
      <c r="AN309" s="26" t="s">
        <v>744</v>
      </c>
      <c r="AS309" s="26" t="s">
        <v>76</v>
      </c>
      <c r="AT309" s="26" t="s">
        <v>77</v>
      </c>
      <c r="AU309" s="26" t="s">
        <v>78</v>
      </c>
      <c r="AV309" s="31">
        <f t="shared" ca="1" si="99"/>
        <v>42376.365371064814</v>
      </c>
    </row>
    <row r="310" spans="1:48" s="32" customFormat="1">
      <c r="A310" s="32">
        <v>7</v>
      </c>
      <c r="B310" s="32">
        <f>MONTH('Report Inputs'!$B$2)</f>
        <v>11</v>
      </c>
      <c r="C310" s="32">
        <f>YEAR('Report Inputs'!$B$2)</f>
        <v>2015</v>
      </c>
      <c r="D310" s="32">
        <v>66571</v>
      </c>
      <c r="F310" s="32" t="s">
        <v>65</v>
      </c>
      <c r="G310" s="32" t="s">
        <v>66</v>
      </c>
      <c r="H310" s="32" t="s">
        <v>67</v>
      </c>
      <c r="I310" s="32" t="s">
        <v>68</v>
      </c>
      <c r="J310" s="32" t="s">
        <v>69</v>
      </c>
      <c r="K310" s="32">
        <v>713</v>
      </c>
      <c r="L310" s="32" t="s">
        <v>70</v>
      </c>
      <c r="M310" s="32">
        <v>713</v>
      </c>
      <c r="N310" s="32" t="s">
        <v>71</v>
      </c>
      <c r="O310" s="32" t="s">
        <v>72</v>
      </c>
      <c r="P310" s="32">
        <v>45</v>
      </c>
      <c r="Q310" s="33">
        <v>19277</v>
      </c>
      <c r="R310" s="32">
        <v>0</v>
      </c>
      <c r="S310" s="32" t="s">
        <v>966</v>
      </c>
      <c r="T310" s="32" t="s">
        <v>703</v>
      </c>
      <c r="U310" s="32" t="str">
        <f t="shared" si="101"/>
        <v>PR</v>
      </c>
      <c r="V310" s="32">
        <f t="shared" si="100"/>
        <v>30</v>
      </c>
      <c r="W310" s="32" t="s">
        <v>73</v>
      </c>
      <c r="X310" s="32">
        <v>9</v>
      </c>
      <c r="Y310" s="32" t="s">
        <v>74</v>
      </c>
      <c r="Z310" s="32" t="s">
        <v>75</v>
      </c>
      <c r="AA310" s="29">
        <f>IF(ISNA(VLOOKUP($Q310,data,5,FALSE)),0,VLOOKUP($Q310,data,5,FALSE))*0.2</f>
        <v>0.12660000000000002</v>
      </c>
      <c r="AB310" s="29">
        <f>IF(ISNA(VLOOKUP($Q310,data,7,FALSE)),0,VLOOKUP($Q310,data,7,FALSE))*0.2</f>
        <v>2.8568000000000002</v>
      </c>
      <c r="AC310" s="29">
        <f>IF(ISNA(VLOOKUP($Q310,data,6,FALSE)),0,VLOOKUP($Q310,data,6,FALSE))*0.2</f>
        <v>2.8320000000000003</v>
      </c>
      <c r="AD310" s="29">
        <f t="shared" si="109"/>
        <v>0</v>
      </c>
      <c r="AE310" s="29">
        <f>IF(ISNA(VLOOKUP($Q310,data,13,FALSE)),0,VLOOKUP($Q310,data,13,FALSE))*0.2</f>
        <v>0.15140000000000001</v>
      </c>
      <c r="AF310" s="29">
        <f>IF(ISNA(VLOOKUP($Q310,data,9,FALSE)),0,VLOOKUP($Q310,data,9,FALSE))*0.2</f>
        <v>1041.08</v>
      </c>
      <c r="AG310" s="29">
        <f>IF(ISNA(VLOOKUP($Q310,data,10,FALSE)),0,VLOOKUP($Q310,data,10,FALSE))*0.2</f>
        <v>0.54600000000000004</v>
      </c>
      <c r="AH310" s="29">
        <v>85</v>
      </c>
      <c r="AI310" s="29">
        <f t="shared" si="115"/>
        <v>0</v>
      </c>
      <c r="AJ310" s="29">
        <f>IF(ISNA(VLOOKUP($Q310,data,8,FALSE)),0,VLOOKUP($Q310,data,8,FALSE))*0.2</f>
        <v>954.80340000000001</v>
      </c>
      <c r="AK310" s="34">
        <f>'Report Inputs'!$F$2</f>
        <v>55.9</v>
      </c>
      <c r="AL310" s="29">
        <f>'Report Inputs'!$E$2</f>
        <v>1080</v>
      </c>
      <c r="AM310" s="29">
        <f>IF(ISNA(VLOOKUP($Q310,data,14,FALSE)),0,VLOOKUP($Q310,data,14,FALSE))*0.2</f>
        <v>18.866800000000001</v>
      </c>
      <c r="AN310" s="32" t="s">
        <v>744</v>
      </c>
      <c r="AS310" s="32" t="s">
        <v>76</v>
      </c>
      <c r="AT310" s="32" t="s">
        <v>77</v>
      </c>
      <c r="AU310" s="32" t="s">
        <v>78</v>
      </c>
      <c r="AV310" s="35">
        <f t="shared" ca="1" si="99"/>
        <v>42376.365371064814</v>
      </c>
    </row>
    <row r="311" spans="1:48" s="32" customFormat="1">
      <c r="A311" s="32">
        <v>7</v>
      </c>
      <c r="B311" s="32">
        <f>MONTH('Report Inputs'!$B$2)</f>
        <v>11</v>
      </c>
      <c r="C311" s="32">
        <f>YEAR('Report Inputs'!$B$2)</f>
        <v>2015</v>
      </c>
      <c r="D311" s="32">
        <v>66571</v>
      </c>
      <c r="F311" s="32" t="s">
        <v>65</v>
      </c>
      <c r="G311" s="32" t="s">
        <v>66</v>
      </c>
      <c r="H311" s="32" t="s">
        <v>67</v>
      </c>
      <c r="I311" s="32" t="s">
        <v>68</v>
      </c>
      <c r="J311" s="32" t="s">
        <v>69</v>
      </c>
      <c r="K311" s="32">
        <v>713</v>
      </c>
      <c r="L311" s="32" t="s">
        <v>70</v>
      </c>
      <c r="M311" s="32">
        <v>713</v>
      </c>
      <c r="N311" s="32" t="s">
        <v>71</v>
      </c>
      <c r="O311" s="32" t="s">
        <v>72</v>
      </c>
      <c r="P311" s="32">
        <v>45</v>
      </c>
      <c r="Q311" s="33">
        <v>19277</v>
      </c>
      <c r="R311" s="32">
        <v>0</v>
      </c>
      <c r="S311" s="32" t="s">
        <v>965</v>
      </c>
      <c r="T311" s="32" t="s">
        <v>80</v>
      </c>
      <c r="U311" s="32" t="str">
        <f t="shared" si="101"/>
        <v>PR</v>
      </c>
      <c r="V311" s="32">
        <f t="shared" si="100"/>
        <v>30</v>
      </c>
      <c r="W311" s="32" t="s">
        <v>73</v>
      </c>
      <c r="X311" s="32">
        <v>9</v>
      </c>
      <c r="Y311" s="32" t="s">
        <v>74</v>
      </c>
      <c r="Z311" s="32" t="s">
        <v>75</v>
      </c>
      <c r="AA311" s="29">
        <f>IF(ISNA(VLOOKUP($Q311,data,5,FALSE)),0,VLOOKUP($Q311,data,5,FALSE))*0.8</f>
        <v>0.50640000000000007</v>
      </c>
      <c r="AB311" s="29">
        <f>IF(ISNA(VLOOKUP($Q311,data,7,FALSE)),0,VLOOKUP($Q311,data,7,FALSE))*0.8</f>
        <v>11.427200000000001</v>
      </c>
      <c r="AC311" s="29">
        <f>IF(ISNA(VLOOKUP($Q311,data,6,FALSE)),0,VLOOKUP($Q311,data,6,FALSE))*0.8</f>
        <v>11.328000000000001</v>
      </c>
      <c r="AD311" s="29">
        <f t="shared" si="109"/>
        <v>0</v>
      </c>
      <c r="AE311" s="29">
        <f>IF(ISNA(VLOOKUP($Q311,data,13,FALSE)),0,VLOOKUP($Q311,data,13,FALSE))*0.8</f>
        <v>0.60560000000000003</v>
      </c>
      <c r="AF311" s="29">
        <f>IF(ISNA(VLOOKUP($Q311,data,9,FALSE)),0,VLOOKUP($Q311,data,9,FALSE))*0.8</f>
        <v>4164.32</v>
      </c>
      <c r="AG311" s="29">
        <f>IF(ISNA(VLOOKUP($Q311,data,10,FALSE)),0,VLOOKUP($Q311,data,10,FALSE))*0.8</f>
        <v>2.1840000000000002</v>
      </c>
      <c r="AH311" s="29">
        <f>IF(ISNA(VLOOKUP($Q311,data,11,FALSE)),0,VLOOKUP($Q311,data,11,FALSE))*0.8</f>
        <v>342.92240000000004</v>
      </c>
      <c r="AI311" s="29">
        <f t="shared" si="115"/>
        <v>0</v>
      </c>
      <c r="AJ311" s="29">
        <f>IF(ISNA(VLOOKUP($Q311,data,8,FALSE)),0,VLOOKUP($Q311,data,8,FALSE))*0.8</f>
        <v>3819.2136</v>
      </c>
      <c r="AK311" s="34">
        <f>'Report Inputs'!$F$2</f>
        <v>55.9</v>
      </c>
      <c r="AL311" s="29">
        <f>'Report Inputs'!$E$2</f>
        <v>1080</v>
      </c>
      <c r="AM311" s="29">
        <f>IF(ISNA(VLOOKUP($Q311,data,14,FALSE)),0,VLOOKUP($Q311,data,14,FALSE))*0.8</f>
        <v>75.467200000000005</v>
      </c>
      <c r="AN311" s="32" t="s">
        <v>744</v>
      </c>
      <c r="AS311" s="32" t="s">
        <v>76</v>
      </c>
      <c r="AT311" s="32" t="s">
        <v>77</v>
      </c>
      <c r="AU311" s="32" t="s">
        <v>78</v>
      </c>
      <c r="AV311" s="35">
        <f t="shared" ca="1" si="99"/>
        <v>42376.365371064814</v>
      </c>
    </row>
    <row r="312" spans="1:48">
      <c r="A312" s="26">
        <v>7</v>
      </c>
      <c r="B312" s="26">
        <f>MONTH('Report Inputs'!$B$2)</f>
        <v>11</v>
      </c>
      <c r="C312" s="26">
        <f>YEAR('Report Inputs'!$B$2)</f>
        <v>2015</v>
      </c>
      <c r="D312" s="26">
        <v>66571</v>
      </c>
      <c r="F312" s="26" t="s">
        <v>65</v>
      </c>
      <c r="G312" s="26" t="s">
        <v>66</v>
      </c>
      <c r="H312" s="26" t="s">
        <v>67</v>
      </c>
      <c r="I312" s="26" t="s">
        <v>68</v>
      </c>
      <c r="J312" s="26" t="s">
        <v>69</v>
      </c>
      <c r="K312" s="26">
        <v>713</v>
      </c>
      <c r="L312" s="26" t="s">
        <v>70</v>
      </c>
      <c r="M312" s="26">
        <v>713</v>
      </c>
      <c r="N312" s="26" t="s">
        <v>71</v>
      </c>
      <c r="O312" s="26" t="s">
        <v>72</v>
      </c>
      <c r="P312" s="26">
        <v>45</v>
      </c>
      <c r="Q312" s="27">
        <v>19278</v>
      </c>
      <c r="R312" s="26">
        <v>0</v>
      </c>
      <c r="S312" s="26" t="s">
        <v>807</v>
      </c>
      <c r="T312" s="26" t="s">
        <v>80</v>
      </c>
      <c r="U312" s="26" t="str">
        <f t="shared" si="101"/>
        <v>PR</v>
      </c>
      <c r="V312" s="26">
        <f t="shared" si="100"/>
        <v>30</v>
      </c>
      <c r="W312" s="26" t="s">
        <v>73</v>
      </c>
      <c r="X312" s="26">
        <v>9</v>
      </c>
      <c r="Y312" s="26" t="s">
        <v>74</v>
      </c>
      <c r="Z312" s="26" t="s">
        <v>75</v>
      </c>
      <c r="AA312" s="28">
        <f>IF(ISNA(VLOOKUP($Q312,data,5,FALSE)),0,VLOOKUP($Q312,data,5,FALSE))</f>
        <v>0.58299999999999996</v>
      </c>
      <c r="AB312" s="28">
        <f t="shared" ref="AB312:AB343" si="118">IF(ISNA(VLOOKUP($Q312,data,7,FALSE)),0,VLOOKUP($Q312,data,7,FALSE))</f>
        <v>12.548</v>
      </c>
      <c r="AC312" s="28">
        <f t="shared" ref="AC312:AC343" si="119">IF(ISNA(VLOOKUP($Q312,data,6,FALSE)),0,VLOOKUP($Q312,data,6,FALSE))</f>
        <v>12.462</v>
      </c>
      <c r="AD312" s="28">
        <f t="shared" si="109"/>
        <v>-1</v>
      </c>
      <c r="AE312" s="28">
        <f t="shared" ref="AE312:AE343" si="120">IF(ISNA(VLOOKUP($Q312,data,13,FALSE)),0,VLOOKUP($Q312,data,13,FALSE))</f>
        <v>0.66900000000000004</v>
      </c>
      <c r="AF312" s="28">
        <f t="shared" si="114"/>
        <v>4603.09</v>
      </c>
      <c r="AG312" s="28">
        <f t="shared" ref="AG312:AG375" si="121">IF(ISNA(VLOOKUP($Q312,data,10,FALSE)),0,VLOOKUP($Q312,data,10,FALSE))</f>
        <v>2.4</v>
      </c>
      <c r="AH312" s="28">
        <f t="shared" ref="AH312:AH375" si="122">IF(ISNA(VLOOKUP($Q312,data,11,FALSE)),0,VLOOKUP($Q312,data,11,FALSE))</f>
        <v>406.947</v>
      </c>
      <c r="AI312" s="28">
        <f t="shared" si="115"/>
        <v>0</v>
      </c>
      <c r="AJ312" s="28">
        <f t="shared" ref="AJ312:AJ326" si="123">IF(ISNA(VLOOKUP($Q312,data,8,FALSE)),0,VLOOKUP($Q312,data,8,FALSE))</f>
        <v>4193.7430000000004</v>
      </c>
      <c r="AK312" s="30">
        <f>'Report Inputs'!$F$2</f>
        <v>55.9</v>
      </c>
      <c r="AL312" s="28">
        <f>'Report Inputs'!$E$2</f>
        <v>1080</v>
      </c>
      <c r="AM312" s="28">
        <f t="shared" ref="AM312:AM343" si="124">IF(ISNA(VLOOKUP($Q312,data,14,FALSE)),0,VLOOKUP($Q312,data,14,FALSE))</f>
        <v>82.867999999999995</v>
      </c>
      <c r="AN312" s="26" t="s">
        <v>744</v>
      </c>
      <c r="AS312" s="26" t="s">
        <v>76</v>
      </c>
      <c r="AT312" s="26" t="s">
        <v>77</v>
      </c>
      <c r="AU312" s="26" t="s">
        <v>78</v>
      </c>
      <c r="AV312" s="31">
        <f t="shared" ca="1" si="99"/>
        <v>42376.365371064814</v>
      </c>
    </row>
    <row r="313" spans="1:48">
      <c r="A313" s="26">
        <v>7</v>
      </c>
      <c r="B313" s="26">
        <f>MONTH('Report Inputs'!$B$2)</f>
        <v>11</v>
      </c>
      <c r="C313" s="26">
        <f>YEAR('Report Inputs'!$B$2)</f>
        <v>2015</v>
      </c>
      <c r="D313" s="26">
        <v>66571</v>
      </c>
      <c r="F313" s="26" t="s">
        <v>65</v>
      </c>
      <c r="G313" s="26" t="s">
        <v>66</v>
      </c>
      <c r="H313" s="26" t="s">
        <v>67</v>
      </c>
      <c r="I313" s="26" t="s">
        <v>68</v>
      </c>
      <c r="J313" s="26" t="s">
        <v>69</v>
      </c>
      <c r="K313" s="26">
        <v>713</v>
      </c>
      <c r="L313" s="26" t="s">
        <v>70</v>
      </c>
      <c r="M313" s="26">
        <v>713</v>
      </c>
      <c r="N313" s="26" t="s">
        <v>71</v>
      </c>
      <c r="O313" s="26" t="s">
        <v>72</v>
      </c>
      <c r="P313" s="26">
        <v>45</v>
      </c>
      <c r="Q313" s="27">
        <v>19279</v>
      </c>
      <c r="R313" s="26">
        <v>0</v>
      </c>
      <c r="S313" s="26" t="s">
        <v>785</v>
      </c>
      <c r="T313" s="26" t="s">
        <v>80</v>
      </c>
      <c r="U313" s="26" t="str">
        <f t="shared" si="101"/>
        <v>PR</v>
      </c>
      <c r="V313" s="26">
        <f t="shared" si="100"/>
        <v>30</v>
      </c>
      <c r="W313" s="26" t="s">
        <v>73</v>
      </c>
      <c r="X313" s="26">
        <v>9</v>
      </c>
      <c r="Y313" s="26" t="s">
        <v>74</v>
      </c>
      <c r="Z313" s="26" t="s">
        <v>75</v>
      </c>
      <c r="AA313" s="28">
        <f>IF(ISNA(VLOOKUP($Q313,data,5,FALSE)),0,VLOOKUP($Q313,data,5,FALSE))</f>
        <v>0.57399999999999995</v>
      </c>
      <c r="AB313" s="28">
        <f t="shared" si="118"/>
        <v>12.247</v>
      </c>
      <c r="AC313" s="28">
        <f t="shared" si="119"/>
        <v>12.169</v>
      </c>
      <c r="AD313" s="28">
        <f t="shared" si="109"/>
        <v>0</v>
      </c>
      <c r="AE313" s="28">
        <f t="shared" si="120"/>
        <v>0.65200000000000002</v>
      </c>
      <c r="AF313" s="28">
        <f t="shared" si="114"/>
        <v>4493.51</v>
      </c>
      <c r="AG313" s="28">
        <f t="shared" si="121"/>
        <v>2.34</v>
      </c>
      <c r="AH313" s="28">
        <v>399</v>
      </c>
      <c r="AI313" s="28">
        <f t="shared" si="115"/>
        <v>0</v>
      </c>
      <c r="AJ313" s="28">
        <f t="shared" si="123"/>
        <v>4093.395</v>
      </c>
      <c r="AK313" s="30">
        <f>'Report Inputs'!$F$2</f>
        <v>55.9</v>
      </c>
      <c r="AL313" s="28">
        <f>'Report Inputs'!$E$2</f>
        <v>1080</v>
      </c>
      <c r="AM313" s="28">
        <f t="shared" si="124"/>
        <v>80.885000000000005</v>
      </c>
      <c r="AN313" s="26" t="s">
        <v>744</v>
      </c>
      <c r="AS313" s="26" t="s">
        <v>76</v>
      </c>
      <c r="AT313" s="26" t="s">
        <v>77</v>
      </c>
      <c r="AU313" s="26" t="s">
        <v>78</v>
      </c>
      <c r="AV313" s="31">
        <f t="shared" ca="1" si="99"/>
        <v>42376.365371064814</v>
      </c>
    </row>
    <row r="314" spans="1:48">
      <c r="A314" s="26">
        <v>7</v>
      </c>
      <c r="B314" s="26">
        <f>MONTH('Report Inputs'!$B$2)</f>
        <v>11</v>
      </c>
      <c r="C314" s="26">
        <f>YEAR('Report Inputs'!$B$2)</f>
        <v>2015</v>
      </c>
      <c r="D314" s="26">
        <v>66571</v>
      </c>
      <c r="F314" s="26" t="s">
        <v>65</v>
      </c>
      <c r="G314" s="26" t="s">
        <v>66</v>
      </c>
      <c r="H314" s="26" t="s">
        <v>67</v>
      </c>
      <c r="I314" s="26" t="s">
        <v>68</v>
      </c>
      <c r="J314" s="26" t="s">
        <v>69</v>
      </c>
      <c r="K314" s="26">
        <v>713</v>
      </c>
      <c r="L314" s="26" t="s">
        <v>70</v>
      </c>
      <c r="M314" s="26">
        <v>713</v>
      </c>
      <c r="N314" s="26" t="s">
        <v>71</v>
      </c>
      <c r="O314" s="26" t="s">
        <v>72</v>
      </c>
      <c r="P314" s="26">
        <v>45</v>
      </c>
      <c r="Q314" s="27">
        <v>19281</v>
      </c>
      <c r="R314" s="26">
        <v>0</v>
      </c>
      <c r="S314" s="26" t="s">
        <v>774</v>
      </c>
      <c r="T314" s="26" t="s">
        <v>80</v>
      </c>
      <c r="U314" s="26" t="str">
        <f t="shared" si="101"/>
        <v>PR</v>
      </c>
      <c r="V314" s="26">
        <f t="shared" si="100"/>
        <v>30</v>
      </c>
      <c r="W314" s="26" t="s">
        <v>73</v>
      </c>
      <c r="X314" s="26">
        <v>9</v>
      </c>
      <c r="Y314" s="26" t="s">
        <v>74</v>
      </c>
      <c r="Z314" s="26" t="s">
        <v>75</v>
      </c>
      <c r="AA314" s="28">
        <f>IF(ISNA(VLOOKUP($Q314,data,5,FALSE)),0,VLOOKUP($Q314,data,5,FALSE))</f>
        <v>0.45700000000000002</v>
      </c>
      <c r="AB314" s="28">
        <f t="shared" si="118"/>
        <v>9.8030000000000008</v>
      </c>
      <c r="AC314" s="28">
        <f t="shared" si="119"/>
        <v>9.7379999999999995</v>
      </c>
      <c r="AD314" s="28">
        <f t="shared" si="109"/>
        <v>1</v>
      </c>
      <c r="AE314" s="28">
        <f t="shared" si="120"/>
        <v>0.52200000000000002</v>
      </c>
      <c r="AF314" s="28">
        <f t="shared" si="114"/>
        <v>3638.94</v>
      </c>
      <c r="AG314" s="28">
        <f t="shared" si="121"/>
        <v>1.87</v>
      </c>
      <c r="AH314" s="28">
        <f t="shared" si="122"/>
        <v>360.709</v>
      </c>
      <c r="AI314" s="28">
        <f t="shared" si="115"/>
        <v>0</v>
      </c>
      <c r="AJ314" s="28">
        <f t="shared" si="123"/>
        <v>3276.3609999999999</v>
      </c>
      <c r="AK314" s="30">
        <f>'Report Inputs'!$F$2</f>
        <v>55.9</v>
      </c>
      <c r="AL314" s="28">
        <f>'Report Inputs'!$E$2</f>
        <v>1080</v>
      </c>
      <c r="AM314" s="28">
        <f t="shared" si="124"/>
        <v>64.739999999999995</v>
      </c>
      <c r="AN314" s="26" t="s">
        <v>744</v>
      </c>
      <c r="AS314" s="26" t="s">
        <v>76</v>
      </c>
      <c r="AT314" s="26" t="s">
        <v>77</v>
      </c>
      <c r="AU314" s="26" t="s">
        <v>78</v>
      </c>
      <c r="AV314" s="31">
        <f t="shared" ca="1" si="99"/>
        <v>42376.365371064814</v>
      </c>
    </row>
    <row r="315" spans="1:48">
      <c r="A315" s="26">
        <v>7</v>
      </c>
      <c r="B315" s="26">
        <f>MONTH('Report Inputs'!$B$2)</f>
        <v>11</v>
      </c>
      <c r="C315" s="26">
        <f>YEAR('Report Inputs'!$B$2)</f>
        <v>2015</v>
      </c>
      <c r="D315" s="26">
        <v>66571</v>
      </c>
      <c r="F315" s="26" t="s">
        <v>65</v>
      </c>
      <c r="G315" s="26" t="s">
        <v>66</v>
      </c>
      <c r="H315" s="26" t="s">
        <v>67</v>
      </c>
      <c r="I315" s="26" t="s">
        <v>68</v>
      </c>
      <c r="J315" s="26" t="s">
        <v>69</v>
      </c>
      <c r="K315" s="26">
        <v>713</v>
      </c>
      <c r="L315" s="26" t="s">
        <v>70</v>
      </c>
      <c r="M315" s="26">
        <v>713</v>
      </c>
      <c r="N315" s="26" t="s">
        <v>71</v>
      </c>
      <c r="O315" s="26" t="s">
        <v>72</v>
      </c>
      <c r="P315" s="26">
        <v>45</v>
      </c>
      <c r="Q315" s="27">
        <v>19282</v>
      </c>
      <c r="R315" s="26">
        <v>0</v>
      </c>
      <c r="S315" s="26" t="s">
        <v>786</v>
      </c>
      <c r="T315" s="26" t="s">
        <v>80</v>
      </c>
      <c r="U315" s="26" t="str">
        <f t="shared" si="101"/>
        <v>PR</v>
      </c>
      <c r="V315" s="26">
        <f t="shared" si="100"/>
        <v>30</v>
      </c>
      <c r="W315" s="26" t="s">
        <v>73</v>
      </c>
      <c r="X315" s="26">
        <v>9</v>
      </c>
      <c r="Y315" s="26" t="s">
        <v>74</v>
      </c>
      <c r="Z315" s="26" t="s">
        <v>75</v>
      </c>
      <c r="AA315" s="28">
        <f>IF(ISNA(VLOOKUP($Q315,data,5,FALSE)),0,VLOOKUP($Q315,data,5,FALSE))</f>
        <v>0.46800000000000003</v>
      </c>
      <c r="AB315" s="28">
        <f t="shared" si="118"/>
        <v>10.077999999999999</v>
      </c>
      <c r="AC315" s="28">
        <f t="shared" si="119"/>
        <v>10.009</v>
      </c>
      <c r="AD315" s="28">
        <f t="shared" si="109"/>
        <v>1</v>
      </c>
      <c r="AE315" s="28">
        <f t="shared" si="120"/>
        <v>0.53700000000000003</v>
      </c>
      <c r="AF315" s="28">
        <f t="shared" si="114"/>
        <v>3735.3</v>
      </c>
      <c r="AG315" s="28">
        <f t="shared" si="121"/>
        <v>1.93</v>
      </c>
      <c r="AH315" s="28">
        <f t="shared" si="122"/>
        <v>364.88799999999998</v>
      </c>
      <c r="AI315" s="28">
        <f t="shared" si="115"/>
        <v>0</v>
      </c>
      <c r="AJ315" s="28">
        <f t="shared" si="123"/>
        <v>3368.482</v>
      </c>
      <c r="AK315" s="30">
        <f>'Report Inputs'!$F$2</f>
        <v>55.9</v>
      </c>
      <c r="AL315" s="28">
        <f>'Report Inputs'!$E$2</f>
        <v>1080</v>
      </c>
      <c r="AM315" s="28">
        <f t="shared" si="124"/>
        <v>66.561000000000007</v>
      </c>
      <c r="AN315" s="26" t="s">
        <v>744</v>
      </c>
      <c r="AS315" s="26" t="s">
        <v>76</v>
      </c>
      <c r="AT315" s="26" t="s">
        <v>77</v>
      </c>
      <c r="AU315" s="26" t="s">
        <v>78</v>
      </c>
      <c r="AV315" s="31">
        <f t="shared" ca="1" si="99"/>
        <v>42376.365371064814</v>
      </c>
    </row>
    <row r="316" spans="1:48">
      <c r="A316" s="26">
        <v>7</v>
      </c>
      <c r="B316" s="26">
        <f>MONTH('Report Inputs'!$B$2)</f>
        <v>11</v>
      </c>
      <c r="C316" s="26">
        <f>YEAR('Report Inputs'!$B$2)</f>
        <v>2015</v>
      </c>
      <c r="D316" s="26">
        <v>66571</v>
      </c>
      <c r="F316" s="26" t="s">
        <v>65</v>
      </c>
      <c r="G316" s="26" t="s">
        <v>66</v>
      </c>
      <c r="H316" s="26" t="s">
        <v>67</v>
      </c>
      <c r="I316" s="26" t="s">
        <v>68</v>
      </c>
      <c r="J316" s="26" t="s">
        <v>69</v>
      </c>
      <c r="K316" s="26">
        <v>713</v>
      </c>
      <c r="L316" s="26" t="s">
        <v>70</v>
      </c>
      <c r="M316" s="26">
        <v>713</v>
      </c>
      <c r="N316" s="26" t="s">
        <v>71</v>
      </c>
      <c r="O316" s="26" t="s">
        <v>72</v>
      </c>
      <c r="P316" s="26">
        <v>45</v>
      </c>
      <c r="Q316" s="27">
        <v>19283</v>
      </c>
      <c r="R316" s="26">
        <v>0</v>
      </c>
      <c r="S316" s="26" t="s">
        <v>794</v>
      </c>
      <c r="T316" s="26" t="s">
        <v>80</v>
      </c>
      <c r="U316" s="26" t="str">
        <f t="shared" si="101"/>
        <v>PR</v>
      </c>
      <c r="V316" s="26">
        <f t="shared" si="100"/>
        <v>30</v>
      </c>
      <c r="W316" s="26" t="s">
        <v>73</v>
      </c>
      <c r="X316" s="26">
        <v>9</v>
      </c>
      <c r="Y316" s="26" t="s">
        <v>74</v>
      </c>
      <c r="Z316" s="26" t="s">
        <v>75</v>
      </c>
      <c r="AA316" s="28">
        <v>2</v>
      </c>
      <c r="AB316" s="28">
        <f t="shared" si="118"/>
        <v>13.766</v>
      </c>
      <c r="AC316" s="28">
        <f t="shared" si="119"/>
        <v>13.654999999999999</v>
      </c>
      <c r="AD316" s="28">
        <f t="shared" si="109"/>
        <v>-1</v>
      </c>
      <c r="AE316" s="28">
        <f t="shared" si="120"/>
        <v>0.73099999999999998</v>
      </c>
      <c r="AF316" s="28">
        <f t="shared" si="114"/>
        <v>5024</v>
      </c>
      <c r="AG316" s="28">
        <f t="shared" si="121"/>
        <v>2.63</v>
      </c>
      <c r="AH316" s="28">
        <v>420</v>
      </c>
      <c r="AI316" s="28">
        <f t="shared" si="115"/>
        <v>0</v>
      </c>
      <c r="AJ316" s="28">
        <f t="shared" si="123"/>
        <v>4600.5860000000002</v>
      </c>
      <c r="AK316" s="30">
        <f>'Report Inputs'!$F$2</f>
        <v>55.9</v>
      </c>
      <c r="AL316" s="28">
        <f>'Report Inputs'!$E$2</f>
        <v>1080</v>
      </c>
      <c r="AM316" s="28">
        <f t="shared" si="124"/>
        <v>90.908000000000001</v>
      </c>
      <c r="AN316" s="26" t="s">
        <v>744</v>
      </c>
      <c r="AS316" s="26" t="s">
        <v>76</v>
      </c>
      <c r="AT316" s="26" t="s">
        <v>77</v>
      </c>
      <c r="AU316" s="26" t="s">
        <v>78</v>
      </c>
      <c r="AV316" s="31">
        <f t="shared" ca="1" si="99"/>
        <v>42376.365370833337</v>
      </c>
    </row>
    <row r="317" spans="1:48">
      <c r="A317" s="26">
        <v>7</v>
      </c>
      <c r="B317" s="26">
        <f>MONTH('Report Inputs'!$B$2)</f>
        <v>11</v>
      </c>
      <c r="C317" s="26">
        <f>YEAR('Report Inputs'!$B$2)</f>
        <v>2015</v>
      </c>
      <c r="D317" s="26">
        <v>66571</v>
      </c>
      <c r="F317" s="26" t="s">
        <v>65</v>
      </c>
      <c r="G317" s="26" t="s">
        <v>66</v>
      </c>
      <c r="H317" s="26" t="s">
        <v>67</v>
      </c>
      <c r="I317" s="26" t="s">
        <v>68</v>
      </c>
      <c r="J317" s="26" t="s">
        <v>69</v>
      </c>
      <c r="K317" s="26">
        <v>713</v>
      </c>
      <c r="L317" s="26" t="s">
        <v>70</v>
      </c>
      <c r="M317" s="26">
        <v>713</v>
      </c>
      <c r="N317" s="26" t="s">
        <v>71</v>
      </c>
      <c r="O317" s="26" t="s">
        <v>72</v>
      </c>
      <c r="P317" s="26">
        <v>45</v>
      </c>
      <c r="Q317" s="27">
        <v>19284</v>
      </c>
      <c r="R317" s="26">
        <v>0</v>
      </c>
      <c r="S317" s="26" t="s">
        <v>773</v>
      </c>
      <c r="T317" s="26" t="s">
        <v>80</v>
      </c>
      <c r="U317" s="26" t="str">
        <f t="shared" si="101"/>
        <v>PR</v>
      </c>
      <c r="V317" s="26">
        <f t="shared" si="100"/>
        <v>30</v>
      </c>
      <c r="W317" s="26" t="s">
        <v>73</v>
      </c>
      <c r="X317" s="26">
        <v>9</v>
      </c>
      <c r="Y317" s="26" t="s">
        <v>74</v>
      </c>
      <c r="Z317" s="26" t="s">
        <v>75</v>
      </c>
      <c r="AA317" s="28">
        <f t="shared" ref="AA317:AA348" si="125">IF(ISNA(VLOOKUP($Q317,data,5,FALSE)),0,VLOOKUP($Q317,data,5,FALSE))</f>
        <v>0.436</v>
      </c>
      <c r="AB317" s="28">
        <f t="shared" si="118"/>
        <v>9.0530000000000008</v>
      </c>
      <c r="AC317" s="28">
        <f t="shared" si="119"/>
        <v>9.0060000000000002</v>
      </c>
      <c r="AD317" s="28">
        <f t="shared" si="109"/>
        <v>0</v>
      </c>
      <c r="AE317" s="28">
        <f t="shared" si="120"/>
        <v>0.48299999999999998</v>
      </c>
      <c r="AF317" s="28">
        <f t="shared" si="114"/>
        <v>3376.6</v>
      </c>
      <c r="AG317" s="28">
        <f t="shared" si="121"/>
        <v>1.73</v>
      </c>
      <c r="AH317" s="28">
        <f t="shared" si="122"/>
        <v>349.33</v>
      </c>
      <c r="AI317" s="28">
        <f t="shared" si="115"/>
        <v>0</v>
      </c>
      <c r="AJ317" s="28">
        <f t="shared" si="123"/>
        <v>3025.54</v>
      </c>
      <c r="AK317" s="30">
        <f>'Report Inputs'!$F$2</f>
        <v>55.9</v>
      </c>
      <c r="AL317" s="28">
        <f>'Report Inputs'!$E$2</f>
        <v>1080</v>
      </c>
      <c r="AM317" s="28">
        <f t="shared" si="124"/>
        <v>59.783999999999999</v>
      </c>
      <c r="AN317" s="26" t="s">
        <v>744</v>
      </c>
      <c r="AS317" s="26" t="s">
        <v>76</v>
      </c>
      <c r="AT317" s="26" t="s">
        <v>77</v>
      </c>
      <c r="AU317" s="26" t="s">
        <v>78</v>
      </c>
      <c r="AV317" s="31">
        <f t="shared" ca="1" si="99"/>
        <v>42376.365370833337</v>
      </c>
    </row>
    <row r="318" spans="1:48">
      <c r="A318" s="26">
        <v>7</v>
      </c>
      <c r="B318" s="26">
        <f>MONTH('Report Inputs'!$B$2)</f>
        <v>11</v>
      </c>
      <c r="C318" s="26">
        <f>YEAR('Report Inputs'!$B$2)</f>
        <v>2015</v>
      </c>
      <c r="D318" s="26">
        <v>66571</v>
      </c>
      <c r="F318" s="26" t="s">
        <v>65</v>
      </c>
      <c r="G318" s="26" t="s">
        <v>66</v>
      </c>
      <c r="H318" s="26" t="s">
        <v>67</v>
      </c>
      <c r="I318" s="26" t="s">
        <v>68</v>
      </c>
      <c r="J318" s="26" t="s">
        <v>69</v>
      </c>
      <c r="K318" s="26">
        <v>713</v>
      </c>
      <c r="L318" s="26" t="s">
        <v>70</v>
      </c>
      <c r="M318" s="26">
        <v>713</v>
      </c>
      <c r="N318" s="26" t="s">
        <v>71</v>
      </c>
      <c r="O318" s="26" t="s">
        <v>72</v>
      </c>
      <c r="P318" s="26">
        <v>45</v>
      </c>
      <c r="Q318" s="27">
        <v>19285</v>
      </c>
      <c r="R318" s="26">
        <v>0</v>
      </c>
      <c r="S318" s="26" t="s">
        <v>791</v>
      </c>
      <c r="T318" s="26" t="s">
        <v>80</v>
      </c>
      <c r="U318" s="26" t="str">
        <f t="shared" si="101"/>
        <v>PR</v>
      </c>
      <c r="V318" s="26">
        <f t="shared" si="100"/>
        <v>30</v>
      </c>
      <c r="W318" s="26" t="s">
        <v>73</v>
      </c>
      <c r="X318" s="26">
        <v>9</v>
      </c>
      <c r="Y318" s="26" t="s">
        <v>74</v>
      </c>
      <c r="Z318" s="26" t="s">
        <v>75</v>
      </c>
      <c r="AA318" s="28">
        <f t="shared" si="125"/>
        <v>0.35699999999999998</v>
      </c>
      <c r="AB318" s="28">
        <f t="shared" si="118"/>
        <v>7.5709999999999997</v>
      </c>
      <c r="AC318" s="28">
        <f t="shared" si="119"/>
        <v>7.524</v>
      </c>
      <c r="AD318" s="28">
        <f t="shared" si="109"/>
        <v>0</v>
      </c>
      <c r="AE318" s="28">
        <f t="shared" si="120"/>
        <v>0.40400000000000003</v>
      </c>
      <c r="AF318" s="28">
        <f t="shared" si="114"/>
        <v>2858.82</v>
      </c>
      <c r="AG318" s="28">
        <f t="shared" si="121"/>
        <v>1.45</v>
      </c>
      <c r="AH318" s="28">
        <v>328</v>
      </c>
      <c r="AI318" s="28">
        <f t="shared" si="115"/>
        <v>0</v>
      </c>
      <c r="AJ318" s="28">
        <f t="shared" si="123"/>
        <v>2530.4989999999998</v>
      </c>
      <c r="AK318" s="30">
        <f>'Report Inputs'!$F$2</f>
        <v>55.9</v>
      </c>
      <c r="AL318" s="28">
        <f>'Report Inputs'!$E$2</f>
        <v>1080</v>
      </c>
      <c r="AM318" s="28">
        <f t="shared" si="124"/>
        <v>50.003</v>
      </c>
      <c r="AN318" s="26" t="s">
        <v>744</v>
      </c>
      <c r="AS318" s="26" t="s">
        <v>76</v>
      </c>
      <c r="AT318" s="26" t="s">
        <v>77</v>
      </c>
      <c r="AU318" s="26" t="s">
        <v>78</v>
      </c>
      <c r="AV318" s="31">
        <f t="shared" ca="1" si="99"/>
        <v>42376.365370833337</v>
      </c>
    </row>
    <row r="319" spans="1:48">
      <c r="A319" s="26">
        <v>7</v>
      </c>
      <c r="B319" s="26">
        <f>MONTH('Report Inputs'!$B$2)</f>
        <v>11</v>
      </c>
      <c r="C319" s="26">
        <f>YEAR('Report Inputs'!$B$2)</f>
        <v>2015</v>
      </c>
      <c r="D319" s="26">
        <v>66571</v>
      </c>
      <c r="F319" s="26" t="s">
        <v>65</v>
      </c>
      <c r="G319" s="26" t="s">
        <v>66</v>
      </c>
      <c r="H319" s="26" t="s">
        <v>67</v>
      </c>
      <c r="I319" s="26" t="s">
        <v>68</v>
      </c>
      <c r="J319" s="26" t="s">
        <v>69</v>
      </c>
      <c r="K319" s="26">
        <v>713</v>
      </c>
      <c r="L319" s="26" t="s">
        <v>70</v>
      </c>
      <c r="M319" s="26">
        <v>713</v>
      </c>
      <c r="N319" s="26" t="s">
        <v>71</v>
      </c>
      <c r="O319" s="26" t="s">
        <v>72</v>
      </c>
      <c r="P319" s="26">
        <v>45</v>
      </c>
      <c r="Q319" s="27">
        <v>19286</v>
      </c>
      <c r="R319" s="26">
        <v>0</v>
      </c>
      <c r="S319" s="26" t="s">
        <v>783</v>
      </c>
      <c r="T319" s="26" t="s">
        <v>80</v>
      </c>
      <c r="U319" s="26" t="str">
        <f t="shared" si="101"/>
        <v>PR</v>
      </c>
      <c r="V319" s="26">
        <f t="shared" si="100"/>
        <v>30</v>
      </c>
      <c r="W319" s="26" t="s">
        <v>73</v>
      </c>
      <c r="X319" s="26">
        <v>9</v>
      </c>
      <c r="Y319" s="26" t="s">
        <v>74</v>
      </c>
      <c r="Z319" s="26" t="s">
        <v>75</v>
      </c>
      <c r="AA319" s="28">
        <f t="shared" si="125"/>
        <v>0.48199999999999998</v>
      </c>
      <c r="AB319" s="28">
        <f t="shared" si="118"/>
        <v>10.412000000000001</v>
      </c>
      <c r="AC319" s="28">
        <f t="shared" si="119"/>
        <v>10.34</v>
      </c>
      <c r="AD319" s="28">
        <f t="shared" si="109"/>
        <v>1</v>
      </c>
      <c r="AE319" s="28">
        <f t="shared" si="120"/>
        <v>0.55400000000000005</v>
      </c>
      <c r="AF319" s="28">
        <f t="shared" si="114"/>
        <v>3852.16</v>
      </c>
      <c r="AG319" s="28">
        <f t="shared" si="121"/>
        <v>1.99</v>
      </c>
      <c r="AH319" s="28">
        <f t="shared" si="122"/>
        <v>369.95699999999999</v>
      </c>
      <c r="AI319" s="28">
        <f t="shared" si="115"/>
        <v>0</v>
      </c>
      <c r="AJ319" s="28">
        <f t="shared" si="123"/>
        <v>3480.2130000000002</v>
      </c>
      <c r="AK319" s="30">
        <f>'Report Inputs'!$F$2</f>
        <v>55.9</v>
      </c>
      <c r="AL319" s="28">
        <f>'Report Inputs'!$E$2</f>
        <v>1080</v>
      </c>
      <c r="AM319" s="28">
        <f t="shared" si="124"/>
        <v>68.769000000000005</v>
      </c>
      <c r="AN319" s="26" t="s">
        <v>744</v>
      </c>
      <c r="AS319" s="26" t="s">
        <v>76</v>
      </c>
      <c r="AT319" s="26" t="s">
        <v>77</v>
      </c>
      <c r="AU319" s="26" t="s">
        <v>78</v>
      </c>
      <c r="AV319" s="31">
        <f t="shared" ref="AV319:AV382" ca="1" si="126">NOW()</f>
        <v>42376.365370833337</v>
      </c>
    </row>
    <row r="320" spans="1:48">
      <c r="A320" s="26">
        <v>7</v>
      </c>
      <c r="B320" s="26">
        <f>MONTH('Report Inputs'!$B$2)</f>
        <v>11</v>
      </c>
      <c r="C320" s="26">
        <f>YEAR('Report Inputs'!$B$2)</f>
        <v>2015</v>
      </c>
      <c r="D320" s="26">
        <v>66571</v>
      </c>
      <c r="F320" s="26" t="s">
        <v>65</v>
      </c>
      <c r="G320" s="26" t="s">
        <v>66</v>
      </c>
      <c r="H320" s="26" t="s">
        <v>67</v>
      </c>
      <c r="I320" s="26" t="s">
        <v>68</v>
      </c>
      <c r="J320" s="26" t="s">
        <v>69</v>
      </c>
      <c r="K320" s="26">
        <v>713</v>
      </c>
      <c r="L320" s="26" t="s">
        <v>70</v>
      </c>
      <c r="M320" s="26">
        <v>713</v>
      </c>
      <c r="N320" s="26" t="s">
        <v>71</v>
      </c>
      <c r="O320" s="26" t="s">
        <v>72</v>
      </c>
      <c r="P320" s="26">
        <v>45</v>
      </c>
      <c r="Q320" s="27">
        <v>19287</v>
      </c>
      <c r="R320" s="26">
        <v>0</v>
      </c>
      <c r="S320" s="26" t="s">
        <v>790</v>
      </c>
      <c r="T320" s="26" t="s">
        <v>80</v>
      </c>
      <c r="U320" s="26" t="str">
        <f t="shared" si="101"/>
        <v>PR</v>
      </c>
      <c r="V320" s="26">
        <f t="shared" si="100"/>
        <v>30</v>
      </c>
      <c r="W320" s="26" t="s">
        <v>73</v>
      </c>
      <c r="X320" s="26">
        <v>9</v>
      </c>
      <c r="Y320" s="26" t="s">
        <v>74</v>
      </c>
      <c r="Z320" s="26" t="s">
        <v>75</v>
      </c>
      <c r="AA320" s="28">
        <f t="shared" si="125"/>
        <v>0.58199999999999996</v>
      </c>
      <c r="AB320" s="28">
        <f t="shared" si="118"/>
        <v>12.509</v>
      </c>
      <c r="AC320" s="28">
        <f t="shared" si="119"/>
        <v>12.425000000000001</v>
      </c>
      <c r="AD320" s="28">
        <f t="shared" si="109"/>
        <v>-1</v>
      </c>
      <c r="AE320" s="28">
        <f t="shared" si="120"/>
        <v>0.66600000000000004</v>
      </c>
      <c r="AF320" s="28">
        <f t="shared" si="114"/>
        <v>4585.26</v>
      </c>
      <c r="AG320" s="28">
        <f t="shared" si="121"/>
        <v>2.39</v>
      </c>
      <c r="AH320" s="28">
        <f t="shared" si="122"/>
        <v>401.755</v>
      </c>
      <c r="AI320" s="28">
        <f t="shared" si="115"/>
        <v>0</v>
      </c>
      <c r="AJ320" s="28">
        <f t="shared" si="123"/>
        <v>4181.1149999999998</v>
      </c>
      <c r="AK320" s="30">
        <f>'Report Inputs'!$F$2</f>
        <v>55.9</v>
      </c>
      <c r="AL320" s="28">
        <f>'Report Inputs'!$E$2</f>
        <v>1080</v>
      </c>
      <c r="AM320" s="28">
        <f t="shared" si="124"/>
        <v>82.619</v>
      </c>
      <c r="AN320" s="26" t="s">
        <v>744</v>
      </c>
      <c r="AS320" s="26" t="s">
        <v>76</v>
      </c>
      <c r="AT320" s="26" t="s">
        <v>77</v>
      </c>
      <c r="AU320" s="26" t="s">
        <v>78</v>
      </c>
      <c r="AV320" s="31">
        <f t="shared" ca="1" si="126"/>
        <v>42376.365370833337</v>
      </c>
    </row>
    <row r="321" spans="1:48">
      <c r="A321" s="26">
        <v>7</v>
      </c>
      <c r="B321" s="26">
        <f>MONTH('Report Inputs'!$B$2)</f>
        <v>11</v>
      </c>
      <c r="C321" s="26">
        <f>YEAR('Report Inputs'!$B$2)</f>
        <v>2015</v>
      </c>
      <c r="D321" s="26">
        <v>66571</v>
      </c>
      <c r="F321" s="26" t="s">
        <v>65</v>
      </c>
      <c r="G321" s="26" t="s">
        <v>66</v>
      </c>
      <c r="H321" s="26" t="s">
        <v>67</v>
      </c>
      <c r="I321" s="26" t="s">
        <v>68</v>
      </c>
      <c r="J321" s="26" t="s">
        <v>69</v>
      </c>
      <c r="K321" s="26">
        <v>713</v>
      </c>
      <c r="L321" s="26" t="s">
        <v>70</v>
      </c>
      <c r="M321" s="26">
        <v>713</v>
      </c>
      <c r="N321" s="26" t="s">
        <v>71</v>
      </c>
      <c r="O321" s="26" t="s">
        <v>72</v>
      </c>
      <c r="P321" s="26">
        <v>45</v>
      </c>
      <c r="Q321" s="27">
        <v>19499</v>
      </c>
      <c r="R321" s="26">
        <v>0</v>
      </c>
      <c r="S321" s="26" t="s">
        <v>857</v>
      </c>
      <c r="T321" s="26" t="s">
        <v>80</v>
      </c>
      <c r="U321" s="26" t="str">
        <f t="shared" si="101"/>
        <v>PR</v>
      </c>
      <c r="V321" s="26">
        <f t="shared" si="100"/>
        <v>30</v>
      </c>
      <c r="W321" s="26" t="s">
        <v>124</v>
      </c>
      <c r="X321" s="26">
        <v>15</v>
      </c>
      <c r="Y321" s="26" t="s">
        <v>74</v>
      </c>
      <c r="Z321" s="26" t="s">
        <v>75</v>
      </c>
      <c r="AA321" s="28">
        <f t="shared" si="125"/>
        <v>0.496</v>
      </c>
      <c r="AB321" s="28">
        <f t="shared" si="118"/>
        <v>8.89</v>
      </c>
      <c r="AC321" s="28">
        <f t="shared" si="119"/>
        <v>8.9290000000000003</v>
      </c>
      <c r="AD321" s="28">
        <f t="shared" si="109"/>
        <v>0</v>
      </c>
      <c r="AE321" s="28">
        <f t="shared" si="120"/>
        <v>0.45700000000000002</v>
      </c>
      <c r="AF321" s="28">
        <f t="shared" si="114"/>
        <v>2948.28</v>
      </c>
      <c r="AG321" s="28">
        <f t="shared" si="121"/>
        <v>1.71</v>
      </c>
      <c r="AH321" s="28">
        <v>330</v>
      </c>
      <c r="AI321" s="28">
        <f t="shared" si="115"/>
        <v>0</v>
      </c>
      <c r="AJ321" s="28">
        <f t="shared" si="123"/>
        <v>2615.828</v>
      </c>
      <c r="AK321" s="30">
        <f>'Report Inputs'!$F$2</f>
        <v>55.9</v>
      </c>
      <c r="AL321" s="28">
        <f>'Report Inputs'!$E$2</f>
        <v>1080</v>
      </c>
      <c r="AM321" s="28">
        <f t="shared" si="124"/>
        <v>82.849000000000004</v>
      </c>
      <c r="AN321" s="26" t="s">
        <v>744</v>
      </c>
      <c r="AS321" s="26" t="s">
        <v>76</v>
      </c>
      <c r="AT321" s="26" t="s">
        <v>77</v>
      </c>
      <c r="AU321" s="26" t="s">
        <v>78</v>
      </c>
      <c r="AV321" s="31">
        <f t="shared" ca="1" si="126"/>
        <v>42376.365370833337</v>
      </c>
    </row>
    <row r="322" spans="1:48">
      <c r="A322" s="26">
        <v>7</v>
      </c>
      <c r="B322" s="26">
        <f>MONTH('Report Inputs'!$B$2)</f>
        <v>11</v>
      </c>
      <c r="C322" s="26">
        <f>YEAR('Report Inputs'!$B$2)</f>
        <v>2015</v>
      </c>
      <c r="D322" s="26">
        <v>66571</v>
      </c>
      <c r="F322" s="26" t="s">
        <v>65</v>
      </c>
      <c r="G322" s="26" t="s">
        <v>66</v>
      </c>
      <c r="H322" s="26" t="s">
        <v>67</v>
      </c>
      <c r="I322" s="26" t="s">
        <v>68</v>
      </c>
      <c r="J322" s="26" t="s">
        <v>69</v>
      </c>
      <c r="K322" s="26">
        <v>713</v>
      </c>
      <c r="L322" s="26" t="s">
        <v>70</v>
      </c>
      <c r="M322" s="26">
        <v>713</v>
      </c>
      <c r="N322" s="26" t="s">
        <v>71</v>
      </c>
      <c r="O322" s="26" t="s">
        <v>72</v>
      </c>
      <c r="P322" s="26">
        <v>45</v>
      </c>
      <c r="Q322" s="27">
        <v>19500</v>
      </c>
      <c r="R322" s="26">
        <v>0</v>
      </c>
      <c r="S322" s="26" t="s">
        <v>845</v>
      </c>
      <c r="T322" s="26" t="s">
        <v>80</v>
      </c>
      <c r="U322" s="26" t="str">
        <f t="shared" si="101"/>
        <v>PR</v>
      </c>
      <c r="V322" s="26">
        <f t="shared" ref="V322:V385" si="127">IF(ISNA(VLOOKUP($Q322,data,4,FALSE)),0,VLOOKUP($Q322,data,4,FALSE))</f>
        <v>30</v>
      </c>
      <c r="W322" s="26" t="s">
        <v>124</v>
      </c>
      <c r="X322" s="26">
        <v>15</v>
      </c>
      <c r="Y322" s="26" t="s">
        <v>74</v>
      </c>
      <c r="Z322" s="26" t="s">
        <v>75</v>
      </c>
      <c r="AA322" s="28">
        <f t="shared" si="125"/>
        <v>0.52900000000000003</v>
      </c>
      <c r="AB322" s="28">
        <f t="shared" si="118"/>
        <v>10.385999999999999</v>
      </c>
      <c r="AC322" s="28">
        <f t="shared" si="119"/>
        <v>10.384</v>
      </c>
      <c r="AD322" s="28">
        <f t="shared" si="109"/>
        <v>0</v>
      </c>
      <c r="AE322" s="28">
        <f t="shared" si="120"/>
        <v>0.53100000000000003</v>
      </c>
      <c r="AF322" s="28">
        <f t="shared" si="114"/>
        <v>3409.07</v>
      </c>
      <c r="AG322" s="28">
        <f t="shared" si="121"/>
        <v>2</v>
      </c>
      <c r="AH322" s="28">
        <f t="shared" si="122"/>
        <v>350.72699999999998</v>
      </c>
      <c r="AI322" s="28">
        <f t="shared" si="115"/>
        <v>0</v>
      </c>
      <c r="AJ322" s="28">
        <f t="shared" si="123"/>
        <v>3056.3429999999998</v>
      </c>
      <c r="AK322" s="30">
        <f>'Report Inputs'!$F$2</f>
        <v>55.9</v>
      </c>
      <c r="AL322" s="28">
        <f>'Report Inputs'!$E$2</f>
        <v>1080</v>
      </c>
      <c r="AM322" s="28">
        <f t="shared" si="124"/>
        <v>96.802000000000007</v>
      </c>
      <c r="AN322" s="26" t="s">
        <v>744</v>
      </c>
      <c r="AS322" s="26" t="s">
        <v>76</v>
      </c>
      <c r="AT322" s="26" t="s">
        <v>77</v>
      </c>
      <c r="AU322" s="26" t="s">
        <v>78</v>
      </c>
      <c r="AV322" s="31">
        <f t="shared" ca="1" si="126"/>
        <v>42376.365370833337</v>
      </c>
    </row>
    <row r="323" spans="1:48">
      <c r="A323" s="26">
        <v>7</v>
      </c>
      <c r="B323" s="26">
        <f>MONTH('Report Inputs'!$B$2)</f>
        <v>11</v>
      </c>
      <c r="C323" s="26">
        <f>YEAR('Report Inputs'!$B$2)</f>
        <v>2015</v>
      </c>
      <c r="D323" s="26">
        <v>66571</v>
      </c>
      <c r="F323" s="26" t="s">
        <v>65</v>
      </c>
      <c r="G323" s="26" t="s">
        <v>66</v>
      </c>
      <c r="H323" s="26" t="s">
        <v>67</v>
      </c>
      <c r="I323" s="26" t="s">
        <v>68</v>
      </c>
      <c r="J323" s="26" t="s">
        <v>69</v>
      </c>
      <c r="K323" s="26">
        <v>713</v>
      </c>
      <c r="L323" s="26" t="s">
        <v>70</v>
      </c>
      <c r="M323" s="26">
        <v>713</v>
      </c>
      <c r="N323" s="26" t="s">
        <v>71</v>
      </c>
      <c r="O323" s="26" t="s">
        <v>72</v>
      </c>
      <c r="P323" s="26">
        <v>45</v>
      </c>
      <c r="Q323" s="27">
        <v>19501</v>
      </c>
      <c r="R323" s="26">
        <v>0</v>
      </c>
      <c r="S323" s="26" t="s">
        <v>860</v>
      </c>
      <c r="T323" s="26" t="s">
        <v>80</v>
      </c>
      <c r="U323" s="26" t="str">
        <f t="shared" si="101"/>
        <v>PR</v>
      </c>
      <c r="V323" s="26">
        <f t="shared" si="127"/>
        <v>30</v>
      </c>
      <c r="W323" s="26" t="s">
        <v>124</v>
      </c>
      <c r="X323" s="26">
        <v>15</v>
      </c>
      <c r="Y323" s="26" t="s">
        <v>74</v>
      </c>
      <c r="Z323" s="26" t="s">
        <v>75</v>
      </c>
      <c r="AA323" s="28">
        <f t="shared" si="125"/>
        <v>0.45900000000000002</v>
      </c>
      <c r="AB323" s="28">
        <f t="shared" si="118"/>
        <v>8.7810000000000006</v>
      </c>
      <c r="AC323" s="28">
        <f t="shared" si="119"/>
        <v>8.7899999999999991</v>
      </c>
      <c r="AD323" s="28">
        <f t="shared" si="109"/>
        <v>0</v>
      </c>
      <c r="AE323" s="28">
        <f t="shared" si="120"/>
        <v>0.45</v>
      </c>
      <c r="AF323" s="28">
        <f t="shared" si="114"/>
        <v>2918.23</v>
      </c>
      <c r="AG323" s="28">
        <f t="shared" si="121"/>
        <v>1.69</v>
      </c>
      <c r="AH323" s="28">
        <v>332</v>
      </c>
      <c r="AI323" s="28">
        <f t="shared" si="115"/>
        <v>0</v>
      </c>
      <c r="AJ323" s="28">
        <f t="shared" si="123"/>
        <v>2583.7820000000002</v>
      </c>
      <c r="AK323" s="30">
        <f>'Report Inputs'!$F$2</f>
        <v>55.9</v>
      </c>
      <c r="AL323" s="28">
        <f>'Report Inputs'!$E$2</f>
        <v>1080</v>
      </c>
      <c r="AM323" s="28">
        <f t="shared" si="124"/>
        <v>81.834999999999994</v>
      </c>
      <c r="AN323" s="26" t="s">
        <v>744</v>
      </c>
      <c r="AS323" s="26" t="s">
        <v>76</v>
      </c>
      <c r="AT323" s="26" t="s">
        <v>77</v>
      </c>
      <c r="AU323" s="26" t="s">
        <v>78</v>
      </c>
      <c r="AV323" s="31">
        <f t="shared" ca="1" si="126"/>
        <v>42376.365371064814</v>
      </c>
    </row>
    <row r="324" spans="1:48">
      <c r="A324" s="26">
        <v>7</v>
      </c>
      <c r="B324" s="26">
        <f>MONTH('Report Inputs'!$B$2)</f>
        <v>11</v>
      </c>
      <c r="C324" s="26">
        <f>YEAR('Report Inputs'!$B$2)</f>
        <v>2015</v>
      </c>
      <c r="D324" s="26">
        <v>66571</v>
      </c>
      <c r="F324" s="26" t="s">
        <v>65</v>
      </c>
      <c r="G324" s="26" t="s">
        <v>66</v>
      </c>
      <c r="H324" s="26" t="s">
        <v>67</v>
      </c>
      <c r="I324" s="26" t="s">
        <v>68</v>
      </c>
      <c r="J324" s="26" t="s">
        <v>69</v>
      </c>
      <c r="K324" s="26">
        <v>713</v>
      </c>
      <c r="L324" s="26" t="s">
        <v>70</v>
      </c>
      <c r="M324" s="26">
        <v>713</v>
      </c>
      <c r="N324" s="26" t="s">
        <v>71</v>
      </c>
      <c r="O324" s="26" t="s">
        <v>72</v>
      </c>
      <c r="P324" s="26">
        <v>45</v>
      </c>
      <c r="Q324" s="27">
        <v>19502</v>
      </c>
      <c r="R324" s="26">
        <v>0</v>
      </c>
      <c r="S324" s="26" t="s">
        <v>844</v>
      </c>
      <c r="T324" s="26" t="s">
        <v>80</v>
      </c>
      <c r="U324" s="26" t="str">
        <f t="shared" ref="U324:U387" si="128">IF(V324&gt;0,"PR","SI")</f>
        <v>PR</v>
      </c>
      <c r="V324" s="26">
        <f t="shared" si="127"/>
        <v>30</v>
      </c>
      <c r="W324" s="26" t="s">
        <v>124</v>
      </c>
      <c r="X324" s="26">
        <v>15</v>
      </c>
      <c r="Y324" s="26" t="s">
        <v>74</v>
      </c>
      <c r="Z324" s="26" t="s">
        <v>75</v>
      </c>
      <c r="AA324" s="28">
        <f t="shared" si="125"/>
        <v>0.77800000000000002</v>
      </c>
      <c r="AB324" s="28">
        <f t="shared" si="118"/>
        <v>14.294</v>
      </c>
      <c r="AC324" s="28">
        <f t="shared" si="119"/>
        <v>14.337999999999999</v>
      </c>
      <c r="AD324" s="28">
        <f t="shared" si="109"/>
        <v>0</v>
      </c>
      <c r="AE324" s="28">
        <f t="shared" si="120"/>
        <v>0.73399999999999999</v>
      </c>
      <c r="AF324" s="28">
        <f t="shared" si="114"/>
        <v>4611.72</v>
      </c>
      <c r="AG324" s="28">
        <f t="shared" si="121"/>
        <v>2.75</v>
      </c>
      <c r="AH324" s="28">
        <f t="shared" si="122"/>
        <v>402.887</v>
      </c>
      <c r="AI324" s="28">
        <f t="shared" si="115"/>
        <v>0</v>
      </c>
      <c r="AJ324" s="28">
        <f t="shared" si="123"/>
        <v>4206.0829999999996</v>
      </c>
      <c r="AK324" s="30">
        <f>'Report Inputs'!$F$2</f>
        <v>55.9</v>
      </c>
      <c r="AL324" s="28">
        <f>'Report Inputs'!$E$2</f>
        <v>1080</v>
      </c>
      <c r="AM324" s="28">
        <f t="shared" si="124"/>
        <v>133.21799999999999</v>
      </c>
      <c r="AN324" s="26" t="s">
        <v>744</v>
      </c>
      <c r="AS324" s="26" t="s">
        <v>76</v>
      </c>
      <c r="AT324" s="26" t="s">
        <v>77</v>
      </c>
      <c r="AU324" s="26" t="s">
        <v>78</v>
      </c>
      <c r="AV324" s="31">
        <f t="shared" ca="1" si="126"/>
        <v>42376.365371064814</v>
      </c>
    </row>
    <row r="325" spans="1:48">
      <c r="A325" s="26">
        <v>7</v>
      </c>
      <c r="B325" s="26">
        <f>MONTH('Report Inputs'!$B$2)</f>
        <v>11</v>
      </c>
      <c r="C325" s="26">
        <f>YEAR('Report Inputs'!$B$2)</f>
        <v>2015</v>
      </c>
      <c r="D325" s="26">
        <v>66571</v>
      </c>
      <c r="F325" s="26" t="s">
        <v>65</v>
      </c>
      <c r="G325" s="26" t="s">
        <v>66</v>
      </c>
      <c r="H325" s="26" t="s">
        <v>67</v>
      </c>
      <c r="I325" s="26" t="s">
        <v>68</v>
      </c>
      <c r="J325" s="26" t="s">
        <v>69</v>
      </c>
      <c r="K325" s="26">
        <v>713</v>
      </c>
      <c r="L325" s="26" t="s">
        <v>70</v>
      </c>
      <c r="M325" s="26">
        <v>713</v>
      </c>
      <c r="N325" s="26" t="s">
        <v>71</v>
      </c>
      <c r="O325" s="26" t="s">
        <v>72</v>
      </c>
      <c r="P325" s="26">
        <v>45</v>
      </c>
      <c r="Q325" s="27">
        <v>19503</v>
      </c>
      <c r="R325" s="26">
        <v>0</v>
      </c>
      <c r="S325" s="26" t="s">
        <v>818</v>
      </c>
      <c r="T325" s="26" t="s">
        <v>80</v>
      </c>
      <c r="U325" s="26" t="str">
        <f t="shared" si="128"/>
        <v>PR</v>
      </c>
      <c r="V325" s="26">
        <f t="shared" si="127"/>
        <v>30</v>
      </c>
      <c r="W325" s="26" t="s">
        <v>124</v>
      </c>
      <c r="X325" s="26">
        <v>15</v>
      </c>
      <c r="Y325" s="26" t="s">
        <v>74</v>
      </c>
      <c r="Z325" s="26" t="s">
        <v>75</v>
      </c>
      <c r="AA325" s="28">
        <f t="shared" si="125"/>
        <v>0.40899999999999997</v>
      </c>
      <c r="AB325" s="28">
        <f t="shared" si="118"/>
        <v>9.3729999999999993</v>
      </c>
      <c r="AC325" s="28">
        <f t="shared" si="119"/>
        <v>9.3079999999999998</v>
      </c>
      <c r="AD325" s="28">
        <f t="shared" si="109"/>
        <v>0</v>
      </c>
      <c r="AE325" s="28">
        <f t="shared" si="120"/>
        <v>0.47399999999999998</v>
      </c>
      <c r="AF325" s="28">
        <f t="shared" si="114"/>
        <v>3097.38</v>
      </c>
      <c r="AG325" s="28">
        <f t="shared" si="121"/>
        <v>1.81</v>
      </c>
      <c r="AH325" s="28">
        <f t="shared" si="122"/>
        <v>337.209</v>
      </c>
      <c r="AI325" s="28">
        <f t="shared" si="115"/>
        <v>0</v>
      </c>
      <c r="AJ325" s="28">
        <f t="shared" si="123"/>
        <v>2758.3609999999999</v>
      </c>
      <c r="AK325" s="30">
        <f>'Report Inputs'!$F$2</f>
        <v>55.9</v>
      </c>
      <c r="AL325" s="28">
        <f>'Report Inputs'!$E$2</f>
        <v>1080</v>
      </c>
      <c r="AM325" s="28">
        <f t="shared" si="124"/>
        <v>87.364999999999995</v>
      </c>
      <c r="AN325" s="26" t="s">
        <v>744</v>
      </c>
      <c r="AS325" s="26" t="s">
        <v>76</v>
      </c>
      <c r="AT325" s="26" t="s">
        <v>77</v>
      </c>
      <c r="AU325" s="26" t="s">
        <v>78</v>
      </c>
      <c r="AV325" s="31">
        <f t="shared" ca="1" si="126"/>
        <v>42376.365371064814</v>
      </c>
    </row>
    <row r="326" spans="1:48">
      <c r="A326" s="26">
        <v>7</v>
      </c>
      <c r="B326" s="26">
        <f>MONTH('Report Inputs'!$B$2)</f>
        <v>11</v>
      </c>
      <c r="C326" s="26">
        <f>YEAR('Report Inputs'!$B$2)</f>
        <v>2015</v>
      </c>
      <c r="D326" s="26">
        <v>66571</v>
      </c>
      <c r="F326" s="26" t="s">
        <v>65</v>
      </c>
      <c r="G326" s="26" t="s">
        <v>66</v>
      </c>
      <c r="H326" s="26" t="s">
        <v>67</v>
      </c>
      <c r="I326" s="26" t="s">
        <v>68</v>
      </c>
      <c r="J326" s="26" t="s">
        <v>69</v>
      </c>
      <c r="K326" s="26">
        <v>713</v>
      </c>
      <c r="L326" s="26" t="s">
        <v>70</v>
      </c>
      <c r="M326" s="26">
        <v>713</v>
      </c>
      <c r="N326" s="26" t="s">
        <v>71</v>
      </c>
      <c r="O326" s="26" t="s">
        <v>72</v>
      </c>
      <c r="P326" s="26">
        <v>45</v>
      </c>
      <c r="Q326" s="27">
        <v>19504</v>
      </c>
      <c r="R326" s="26">
        <v>0</v>
      </c>
      <c r="S326" s="26" t="s">
        <v>817</v>
      </c>
      <c r="T326" s="26" t="s">
        <v>80</v>
      </c>
      <c r="U326" s="26" t="str">
        <f t="shared" si="128"/>
        <v>SI</v>
      </c>
      <c r="V326" s="26">
        <f t="shared" si="127"/>
        <v>0</v>
      </c>
      <c r="W326" s="26" t="s">
        <v>124</v>
      </c>
      <c r="X326" s="26">
        <v>15</v>
      </c>
      <c r="Y326" s="26" t="s">
        <v>74</v>
      </c>
      <c r="Z326" s="26" t="s">
        <v>75</v>
      </c>
      <c r="AA326" s="28">
        <f t="shared" si="125"/>
        <v>0.45700000000000002</v>
      </c>
      <c r="AB326" s="28">
        <f t="shared" si="118"/>
        <v>0</v>
      </c>
      <c r="AC326" s="28">
        <f t="shared" si="119"/>
        <v>0.42899999999999999</v>
      </c>
      <c r="AD326" s="28">
        <f t="shared" si="109"/>
        <v>0</v>
      </c>
      <c r="AE326" s="28">
        <f t="shared" si="120"/>
        <v>2.8000000000000001E-2</v>
      </c>
      <c r="AF326" s="28">
        <f t="shared" si="114"/>
        <v>0</v>
      </c>
      <c r="AG326" s="28">
        <f t="shared" si="121"/>
        <v>0</v>
      </c>
      <c r="AH326" s="28">
        <f t="shared" si="122"/>
        <v>0</v>
      </c>
      <c r="AI326" s="28">
        <f t="shared" si="115"/>
        <v>0</v>
      </c>
      <c r="AJ326" s="28">
        <f t="shared" si="123"/>
        <v>0</v>
      </c>
      <c r="AM326" s="28">
        <f t="shared" si="124"/>
        <v>0</v>
      </c>
      <c r="AN326" s="26" t="s">
        <v>744</v>
      </c>
      <c r="AS326" s="26" t="s">
        <v>76</v>
      </c>
      <c r="AT326" s="26" t="s">
        <v>77</v>
      </c>
      <c r="AU326" s="26" t="s">
        <v>78</v>
      </c>
      <c r="AV326" s="31">
        <f t="shared" ca="1" si="126"/>
        <v>42376.365371064814</v>
      </c>
    </row>
    <row r="327" spans="1:48">
      <c r="A327" s="26">
        <v>7</v>
      </c>
      <c r="B327" s="26">
        <f>MONTH('Report Inputs'!$B$2)</f>
        <v>11</v>
      </c>
      <c r="C327" s="26">
        <f>YEAR('Report Inputs'!$B$2)</f>
        <v>2015</v>
      </c>
      <c r="D327" s="26">
        <v>66571</v>
      </c>
      <c r="F327" s="26" t="s">
        <v>65</v>
      </c>
      <c r="G327" s="26" t="s">
        <v>66</v>
      </c>
      <c r="H327" s="26" t="s">
        <v>67</v>
      </c>
      <c r="I327" s="26" t="s">
        <v>68</v>
      </c>
      <c r="J327" s="26" t="s">
        <v>69</v>
      </c>
      <c r="K327" s="26">
        <v>713</v>
      </c>
      <c r="L327" s="26" t="s">
        <v>70</v>
      </c>
      <c r="M327" s="26">
        <v>713</v>
      </c>
      <c r="N327" s="26" t="s">
        <v>71</v>
      </c>
      <c r="O327" s="26" t="s">
        <v>72</v>
      </c>
      <c r="P327" s="26">
        <v>45</v>
      </c>
      <c r="Q327" s="27">
        <v>19936</v>
      </c>
      <c r="R327" s="26">
        <v>0</v>
      </c>
      <c r="S327" s="26" t="s">
        <v>838</v>
      </c>
      <c r="T327" s="26" t="s">
        <v>80</v>
      </c>
      <c r="U327" s="26" t="str">
        <f t="shared" si="128"/>
        <v>PR</v>
      </c>
      <c r="V327" s="26">
        <f t="shared" si="127"/>
        <v>30</v>
      </c>
      <c r="W327" s="26" t="s">
        <v>84</v>
      </c>
      <c r="X327" s="26">
        <v>8</v>
      </c>
      <c r="Y327" s="26" t="s">
        <v>74</v>
      </c>
      <c r="Z327" s="26" t="s">
        <v>75</v>
      </c>
      <c r="AA327" s="28">
        <f t="shared" si="125"/>
        <v>0.46300000000000002</v>
      </c>
      <c r="AB327" s="28">
        <f t="shared" si="118"/>
        <v>0.41099999999999998</v>
      </c>
      <c r="AC327" s="28">
        <f t="shared" si="119"/>
        <v>0.73099999999999998</v>
      </c>
      <c r="AD327" s="28">
        <f t="shared" si="109"/>
        <v>1</v>
      </c>
      <c r="AE327" s="28">
        <f t="shared" si="120"/>
        <v>0.14299999999999999</v>
      </c>
      <c r="AF327" s="28">
        <f t="shared" si="114"/>
        <v>2687.07</v>
      </c>
      <c r="AG327" s="28">
        <f t="shared" si="121"/>
        <v>0</v>
      </c>
      <c r="AH327" s="28">
        <f t="shared" si="122"/>
        <v>319.48</v>
      </c>
      <c r="AI327" s="28">
        <f t="shared" si="115"/>
        <v>0</v>
      </c>
      <c r="AJ327" s="28">
        <f t="shared" ref="AJ327:AJ390" si="129">IF(ISNA(VLOOKUP($Q327,data,8,FALSE)),0,VLOOKUP($Q327,data,8,FALSE))</f>
        <v>2367.59</v>
      </c>
      <c r="AK327" s="30">
        <f>'Report Inputs'!$F$2</f>
        <v>55.9</v>
      </c>
      <c r="AL327" s="28">
        <f>'Report Inputs'!$E$2</f>
        <v>1080</v>
      </c>
      <c r="AM327" s="28">
        <f t="shared" si="124"/>
        <v>104.94499999999999</v>
      </c>
      <c r="AN327" s="26" t="s">
        <v>744</v>
      </c>
      <c r="AS327" s="26" t="s">
        <v>76</v>
      </c>
      <c r="AT327" s="26" t="s">
        <v>77</v>
      </c>
      <c r="AU327" s="26" t="s">
        <v>78</v>
      </c>
      <c r="AV327" s="31">
        <f t="shared" ca="1" si="126"/>
        <v>42376.365371064814</v>
      </c>
    </row>
    <row r="328" spans="1:48">
      <c r="A328" s="26">
        <v>7</v>
      </c>
      <c r="B328" s="26">
        <f>MONTH('Report Inputs'!$B$2)</f>
        <v>11</v>
      </c>
      <c r="C328" s="26">
        <f>YEAR('Report Inputs'!$B$2)</f>
        <v>2015</v>
      </c>
      <c r="D328" s="26">
        <v>66571</v>
      </c>
      <c r="F328" s="26" t="s">
        <v>65</v>
      </c>
      <c r="G328" s="26" t="s">
        <v>66</v>
      </c>
      <c r="H328" s="26" t="s">
        <v>67</v>
      </c>
      <c r="I328" s="26" t="s">
        <v>68</v>
      </c>
      <c r="J328" s="26" t="s">
        <v>69</v>
      </c>
      <c r="K328" s="26">
        <v>713</v>
      </c>
      <c r="L328" s="26" t="s">
        <v>70</v>
      </c>
      <c r="M328" s="26">
        <v>713</v>
      </c>
      <c r="N328" s="26" t="s">
        <v>71</v>
      </c>
      <c r="O328" s="26" t="s">
        <v>72</v>
      </c>
      <c r="P328" s="26">
        <v>45</v>
      </c>
      <c r="Q328" s="27">
        <v>19937</v>
      </c>
      <c r="R328" s="26">
        <v>0</v>
      </c>
      <c r="S328" s="26" t="s">
        <v>832</v>
      </c>
      <c r="T328" s="26" t="s">
        <v>80</v>
      </c>
      <c r="U328" s="26" t="str">
        <f t="shared" si="128"/>
        <v>PR</v>
      </c>
      <c r="V328" s="26">
        <f t="shared" si="127"/>
        <v>30</v>
      </c>
      <c r="W328" s="26" t="s">
        <v>84</v>
      </c>
      <c r="X328" s="26">
        <v>8</v>
      </c>
      <c r="Y328" s="26" t="s">
        <v>74</v>
      </c>
      <c r="Z328" s="26" t="s">
        <v>75</v>
      </c>
      <c r="AA328" s="28">
        <f t="shared" si="125"/>
        <v>0.61199999999999999</v>
      </c>
      <c r="AB328" s="28">
        <f t="shared" si="118"/>
        <v>0.57099999999999995</v>
      </c>
      <c r="AC328" s="28">
        <f t="shared" si="119"/>
        <v>0.98799999999999999</v>
      </c>
      <c r="AD328" s="28">
        <f t="shared" si="109"/>
        <v>-1</v>
      </c>
      <c r="AE328" s="28">
        <f t="shared" si="120"/>
        <v>0.19500000000000001</v>
      </c>
      <c r="AF328" s="28">
        <f t="shared" si="114"/>
        <v>3643.67</v>
      </c>
      <c r="AG328" s="28">
        <f t="shared" si="121"/>
        <v>0</v>
      </c>
      <c r="AH328" s="28">
        <f t="shared" si="122"/>
        <v>360.995</v>
      </c>
      <c r="AI328" s="28">
        <f t="shared" si="115"/>
        <v>0</v>
      </c>
      <c r="AJ328" s="28">
        <f t="shared" si="129"/>
        <v>3282.6750000000002</v>
      </c>
      <c r="AK328" s="30">
        <f>'Report Inputs'!$F$2</f>
        <v>55.9</v>
      </c>
      <c r="AL328" s="28">
        <f>'Report Inputs'!$E$2</f>
        <v>1080</v>
      </c>
      <c r="AM328" s="28">
        <f t="shared" si="124"/>
        <v>145.50800000000001</v>
      </c>
      <c r="AN328" s="26" t="s">
        <v>744</v>
      </c>
      <c r="AS328" s="26" t="s">
        <v>76</v>
      </c>
      <c r="AT328" s="26" t="s">
        <v>77</v>
      </c>
      <c r="AU328" s="26" t="s">
        <v>78</v>
      </c>
      <c r="AV328" s="31">
        <f t="shared" ca="1" si="126"/>
        <v>42376.365371064814</v>
      </c>
    </row>
    <row r="329" spans="1:48">
      <c r="A329" s="26">
        <v>7</v>
      </c>
      <c r="B329" s="26">
        <f>MONTH('Report Inputs'!$B$2)</f>
        <v>11</v>
      </c>
      <c r="C329" s="26">
        <f>YEAR('Report Inputs'!$B$2)</f>
        <v>2015</v>
      </c>
      <c r="D329" s="26">
        <v>66571</v>
      </c>
      <c r="F329" s="26" t="s">
        <v>65</v>
      </c>
      <c r="G329" s="26" t="s">
        <v>66</v>
      </c>
      <c r="H329" s="26" t="s">
        <v>67</v>
      </c>
      <c r="I329" s="26" t="s">
        <v>68</v>
      </c>
      <c r="J329" s="26" t="s">
        <v>69</v>
      </c>
      <c r="K329" s="26">
        <v>713</v>
      </c>
      <c r="L329" s="26" t="s">
        <v>70</v>
      </c>
      <c r="M329" s="26">
        <v>713</v>
      </c>
      <c r="N329" s="26" t="s">
        <v>71</v>
      </c>
      <c r="O329" s="26" t="s">
        <v>72</v>
      </c>
      <c r="P329" s="26">
        <v>45</v>
      </c>
      <c r="Q329" s="27">
        <v>19938</v>
      </c>
      <c r="R329" s="26">
        <v>0</v>
      </c>
      <c r="S329" s="26" t="s">
        <v>839</v>
      </c>
      <c r="T329" s="26" t="s">
        <v>80</v>
      </c>
      <c r="U329" s="26" t="str">
        <f t="shared" si="128"/>
        <v>PR</v>
      </c>
      <c r="V329" s="26">
        <f t="shared" si="127"/>
        <v>30</v>
      </c>
      <c r="W329" s="26" t="s">
        <v>84</v>
      </c>
      <c r="X329" s="26">
        <v>8</v>
      </c>
      <c r="Y329" s="26" t="s">
        <v>74</v>
      </c>
      <c r="Z329" s="26" t="s">
        <v>75</v>
      </c>
      <c r="AA329" s="28">
        <f t="shared" si="125"/>
        <v>0.45</v>
      </c>
      <c r="AB329" s="28">
        <f t="shared" si="118"/>
        <v>0.438</v>
      </c>
      <c r="AC329" s="28">
        <f t="shared" si="119"/>
        <v>0.74</v>
      </c>
      <c r="AD329" s="28">
        <f t="shared" si="109"/>
        <v>1</v>
      </c>
      <c r="AE329" s="28">
        <f t="shared" si="120"/>
        <v>0.14799999999999999</v>
      </c>
      <c r="AF329" s="28">
        <f t="shared" si="114"/>
        <v>2842.07</v>
      </c>
      <c r="AG329" s="28">
        <f t="shared" si="121"/>
        <v>0</v>
      </c>
      <c r="AH329" s="28">
        <f t="shared" si="122"/>
        <v>326.20699999999999</v>
      </c>
      <c r="AI329" s="28">
        <f t="shared" si="115"/>
        <v>0</v>
      </c>
      <c r="AJ329" s="28">
        <f t="shared" si="129"/>
        <v>2515.8629999999998</v>
      </c>
      <c r="AK329" s="30">
        <f>'Report Inputs'!$F$2</f>
        <v>55.9</v>
      </c>
      <c r="AL329" s="28">
        <f>'Report Inputs'!$E$2</f>
        <v>1080</v>
      </c>
      <c r="AM329" s="28">
        <f t="shared" si="124"/>
        <v>111.518</v>
      </c>
      <c r="AN329" s="26" t="s">
        <v>744</v>
      </c>
      <c r="AS329" s="26" t="s">
        <v>76</v>
      </c>
      <c r="AT329" s="26" t="s">
        <v>77</v>
      </c>
      <c r="AU329" s="26" t="s">
        <v>78</v>
      </c>
      <c r="AV329" s="31">
        <f t="shared" ca="1" si="126"/>
        <v>42376.365371064814</v>
      </c>
    </row>
    <row r="330" spans="1:48">
      <c r="A330" s="26">
        <v>7</v>
      </c>
      <c r="B330" s="26">
        <f>MONTH('Report Inputs'!$B$2)</f>
        <v>11</v>
      </c>
      <c r="C330" s="26">
        <f>YEAR('Report Inputs'!$B$2)</f>
        <v>2015</v>
      </c>
      <c r="D330" s="26">
        <v>66571</v>
      </c>
      <c r="F330" s="26" t="s">
        <v>65</v>
      </c>
      <c r="G330" s="26" t="s">
        <v>66</v>
      </c>
      <c r="H330" s="26" t="s">
        <v>67</v>
      </c>
      <c r="I330" s="26" t="s">
        <v>68</v>
      </c>
      <c r="J330" s="26" t="s">
        <v>69</v>
      </c>
      <c r="K330" s="26">
        <v>713</v>
      </c>
      <c r="L330" s="26" t="s">
        <v>70</v>
      </c>
      <c r="M330" s="26">
        <v>713</v>
      </c>
      <c r="N330" s="26" t="s">
        <v>71</v>
      </c>
      <c r="O330" s="26" t="s">
        <v>72</v>
      </c>
      <c r="P330" s="26">
        <v>45</v>
      </c>
      <c r="Q330" s="27">
        <v>19939</v>
      </c>
      <c r="R330" s="26">
        <v>0</v>
      </c>
      <c r="S330" s="26" t="s">
        <v>842</v>
      </c>
      <c r="T330" s="26" t="s">
        <v>80</v>
      </c>
      <c r="U330" s="26" t="str">
        <f t="shared" si="128"/>
        <v>PR</v>
      </c>
      <c r="V330" s="26">
        <f t="shared" si="127"/>
        <v>30</v>
      </c>
      <c r="W330" s="26" t="s">
        <v>84</v>
      </c>
      <c r="X330" s="26">
        <v>8</v>
      </c>
      <c r="Y330" s="26" t="s">
        <v>74</v>
      </c>
      <c r="Z330" s="26" t="s">
        <v>75</v>
      </c>
      <c r="AA330" s="28">
        <f t="shared" si="125"/>
        <v>0.48599999999999999</v>
      </c>
      <c r="AB330" s="28">
        <f t="shared" si="118"/>
        <v>0.45100000000000001</v>
      </c>
      <c r="AC330" s="28">
        <f t="shared" si="119"/>
        <v>0.78200000000000003</v>
      </c>
      <c r="AD330" s="28">
        <f t="shared" si="109"/>
        <v>1</v>
      </c>
      <c r="AE330" s="28">
        <f t="shared" si="120"/>
        <v>0.155</v>
      </c>
      <c r="AF330" s="28">
        <f t="shared" si="114"/>
        <v>2918.27</v>
      </c>
      <c r="AG330" s="28">
        <f t="shared" si="121"/>
        <v>0</v>
      </c>
      <c r="AH330" s="28">
        <v>329</v>
      </c>
      <c r="AI330" s="28">
        <f t="shared" si="115"/>
        <v>0</v>
      </c>
      <c r="AJ330" s="28">
        <f t="shared" si="129"/>
        <v>2588.7559999999999</v>
      </c>
      <c r="AK330" s="30">
        <f>'Report Inputs'!$F$2</f>
        <v>55.9</v>
      </c>
      <c r="AL330" s="28">
        <f>'Report Inputs'!$E$2</f>
        <v>1080</v>
      </c>
      <c r="AM330" s="28">
        <f t="shared" si="124"/>
        <v>114.749</v>
      </c>
      <c r="AN330" s="26" t="s">
        <v>744</v>
      </c>
      <c r="AS330" s="26" t="s">
        <v>76</v>
      </c>
      <c r="AT330" s="26" t="s">
        <v>77</v>
      </c>
      <c r="AU330" s="26" t="s">
        <v>78</v>
      </c>
      <c r="AV330" s="31">
        <f t="shared" ca="1" si="126"/>
        <v>42376.365371064814</v>
      </c>
    </row>
    <row r="331" spans="1:48">
      <c r="A331" s="26">
        <v>7</v>
      </c>
      <c r="B331" s="26">
        <f>MONTH('Report Inputs'!$B$2)</f>
        <v>11</v>
      </c>
      <c r="C331" s="26">
        <f>YEAR('Report Inputs'!$B$2)</f>
        <v>2015</v>
      </c>
      <c r="D331" s="26">
        <v>66571</v>
      </c>
      <c r="F331" s="26" t="s">
        <v>65</v>
      </c>
      <c r="G331" s="26" t="s">
        <v>66</v>
      </c>
      <c r="H331" s="26" t="s">
        <v>67</v>
      </c>
      <c r="I331" s="26" t="s">
        <v>68</v>
      </c>
      <c r="J331" s="26" t="s">
        <v>69</v>
      </c>
      <c r="K331" s="26">
        <v>713</v>
      </c>
      <c r="L331" s="26" t="s">
        <v>70</v>
      </c>
      <c r="M331" s="26">
        <v>713</v>
      </c>
      <c r="N331" s="26" t="s">
        <v>71</v>
      </c>
      <c r="O331" s="26" t="s">
        <v>72</v>
      </c>
      <c r="P331" s="26">
        <v>45</v>
      </c>
      <c r="Q331" s="27">
        <v>19940</v>
      </c>
      <c r="R331" s="26">
        <v>0</v>
      </c>
      <c r="S331" s="26" t="s">
        <v>833</v>
      </c>
      <c r="T331" s="26" t="s">
        <v>80</v>
      </c>
      <c r="U331" s="26" t="str">
        <f t="shared" si="128"/>
        <v>PR</v>
      </c>
      <c r="V331" s="26">
        <f t="shared" si="127"/>
        <v>30</v>
      </c>
      <c r="W331" s="26" t="s">
        <v>84</v>
      </c>
      <c r="X331" s="26">
        <v>8</v>
      </c>
      <c r="Y331" s="26" t="s">
        <v>74</v>
      </c>
      <c r="Z331" s="26" t="s">
        <v>75</v>
      </c>
      <c r="AA331" s="28">
        <f t="shared" si="125"/>
        <v>0.39900000000000002</v>
      </c>
      <c r="AB331" s="28">
        <f t="shared" si="118"/>
        <v>0.35899999999999999</v>
      </c>
      <c r="AC331" s="28">
        <f t="shared" si="119"/>
        <v>0.63400000000000001</v>
      </c>
      <c r="AD331" s="28">
        <f t="shared" si="109"/>
        <v>1</v>
      </c>
      <c r="AE331" s="28">
        <f t="shared" si="120"/>
        <v>0.124</v>
      </c>
      <c r="AF331" s="28">
        <f t="shared" si="114"/>
        <v>2367.27</v>
      </c>
      <c r="AG331" s="28">
        <f t="shared" si="121"/>
        <v>0</v>
      </c>
      <c r="AH331" s="28">
        <v>305</v>
      </c>
      <c r="AI331" s="28">
        <f t="shared" si="115"/>
        <v>0</v>
      </c>
      <c r="AJ331" s="28">
        <f t="shared" si="129"/>
        <v>2061.6680000000001</v>
      </c>
      <c r="AK331" s="30">
        <f>'Report Inputs'!$F$2</f>
        <v>55.9</v>
      </c>
      <c r="AL331" s="28">
        <f>'Report Inputs'!$E$2</f>
        <v>1080</v>
      </c>
      <c r="AM331" s="28">
        <f t="shared" si="124"/>
        <v>91.385000000000005</v>
      </c>
      <c r="AN331" s="26" t="s">
        <v>744</v>
      </c>
      <c r="AS331" s="26" t="s">
        <v>76</v>
      </c>
      <c r="AT331" s="26" t="s">
        <v>77</v>
      </c>
      <c r="AU331" s="26" t="s">
        <v>78</v>
      </c>
      <c r="AV331" s="31">
        <f t="shared" ca="1" si="126"/>
        <v>42376.365371064814</v>
      </c>
    </row>
    <row r="332" spans="1:48">
      <c r="A332" s="26">
        <v>7</v>
      </c>
      <c r="B332" s="26">
        <f>MONTH('Report Inputs'!$B$2)</f>
        <v>11</v>
      </c>
      <c r="C332" s="26">
        <f>YEAR('Report Inputs'!$B$2)</f>
        <v>2015</v>
      </c>
      <c r="D332" s="26">
        <v>66571</v>
      </c>
      <c r="F332" s="26" t="s">
        <v>65</v>
      </c>
      <c r="G332" s="26" t="s">
        <v>66</v>
      </c>
      <c r="H332" s="26" t="s">
        <v>67</v>
      </c>
      <c r="I332" s="26" t="s">
        <v>68</v>
      </c>
      <c r="J332" s="26" t="s">
        <v>69</v>
      </c>
      <c r="K332" s="26">
        <v>713</v>
      </c>
      <c r="L332" s="26" t="s">
        <v>70</v>
      </c>
      <c r="M332" s="26">
        <v>713</v>
      </c>
      <c r="N332" s="26" t="s">
        <v>71</v>
      </c>
      <c r="O332" s="26" t="s">
        <v>72</v>
      </c>
      <c r="P332" s="26">
        <v>45</v>
      </c>
      <c r="Q332" s="27">
        <v>19941</v>
      </c>
      <c r="R332" s="26">
        <v>0</v>
      </c>
      <c r="S332" s="26" t="s">
        <v>831</v>
      </c>
      <c r="T332" s="26" t="s">
        <v>80</v>
      </c>
      <c r="U332" s="26" t="str">
        <f t="shared" si="128"/>
        <v>PR</v>
      </c>
      <c r="V332" s="26">
        <f t="shared" si="127"/>
        <v>30</v>
      </c>
      <c r="W332" s="26" t="s">
        <v>84</v>
      </c>
      <c r="X332" s="26">
        <v>8</v>
      </c>
      <c r="Y332" s="26" t="s">
        <v>74</v>
      </c>
      <c r="Z332" s="26" t="s">
        <v>75</v>
      </c>
      <c r="AA332" s="28">
        <f t="shared" si="125"/>
        <v>0.32900000000000001</v>
      </c>
      <c r="AB332" s="28">
        <f t="shared" si="118"/>
        <v>0.30599999999999999</v>
      </c>
      <c r="AC332" s="28">
        <f t="shared" si="119"/>
        <v>0.53</v>
      </c>
      <c r="AD332" s="28">
        <f t="shared" si="109"/>
        <v>1</v>
      </c>
      <c r="AE332" s="28">
        <f t="shared" si="120"/>
        <v>0.105</v>
      </c>
      <c r="AF332" s="28">
        <f t="shared" si="114"/>
        <v>2051.17</v>
      </c>
      <c r="AG332" s="28">
        <f t="shared" si="121"/>
        <v>0</v>
      </c>
      <c r="AH332" s="28">
        <f t="shared" si="122"/>
        <v>291.88400000000001</v>
      </c>
      <c r="AI332" s="28">
        <f t="shared" si="115"/>
        <v>0</v>
      </c>
      <c r="AJ332" s="28">
        <f t="shared" si="129"/>
        <v>1759.2860000000001</v>
      </c>
      <c r="AK332" s="30">
        <f>'Report Inputs'!$F$2</f>
        <v>55.9</v>
      </c>
      <c r="AL332" s="28">
        <f>'Report Inputs'!$E$2</f>
        <v>1080</v>
      </c>
      <c r="AM332" s="28">
        <f t="shared" si="124"/>
        <v>77.981999999999999</v>
      </c>
      <c r="AN332" s="26" t="s">
        <v>744</v>
      </c>
      <c r="AS332" s="26" t="s">
        <v>76</v>
      </c>
      <c r="AT332" s="26" t="s">
        <v>77</v>
      </c>
      <c r="AU332" s="26" t="s">
        <v>78</v>
      </c>
      <c r="AV332" s="31">
        <f t="shared" ca="1" si="126"/>
        <v>42376.365371064814</v>
      </c>
    </row>
    <row r="333" spans="1:48">
      <c r="A333" s="26">
        <v>7</v>
      </c>
      <c r="B333" s="26">
        <f>MONTH('Report Inputs'!$B$2)</f>
        <v>11</v>
      </c>
      <c r="C333" s="26">
        <f>YEAR('Report Inputs'!$B$2)</f>
        <v>2015</v>
      </c>
      <c r="D333" s="26">
        <v>66571</v>
      </c>
      <c r="F333" s="26" t="s">
        <v>65</v>
      </c>
      <c r="G333" s="26" t="s">
        <v>66</v>
      </c>
      <c r="H333" s="26" t="s">
        <v>67</v>
      </c>
      <c r="I333" s="26" t="s">
        <v>68</v>
      </c>
      <c r="J333" s="26" t="s">
        <v>69</v>
      </c>
      <c r="K333" s="26">
        <v>713</v>
      </c>
      <c r="L333" s="26" t="s">
        <v>70</v>
      </c>
      <c r="M333" s="26">
        <v>713</v>
      </c>
      <c r="N333" s="26" t="s">
        <v>71</v>
      </c>
      <c r="O333" s="26" t="s">
        <v>72</v>
      </c>
      <c r="P333" s="26">
        <v>45</v>
      </c>
      <c r="Q333" s="27">
        <v>19942</v>
      </c>
      <c r="R333" s="26">
        <v>0</v>
      </c>
      <c r="S333" s="26" t="s">
        <v>835</v>
      </c>
      <c r="T333" s="26" t="s">
        <v>80</v>
      </c>
      <c r="U333" s="26" t="str">
        <f t="shared" si="128"/>
        <v>PR</v>
      </c>
      <c r="V333" s="26">
        <f t="shared" si="127"/>
        <v>30</v>
      </c>
      <c r="W333" s="26" t="s">
        <v>84</v>
      </c>
      <c r="X333" s="26">
        <v>8</v>
      </c>
      <c r="Y333" s="26" t="s">
        <v>74</v>
      </c>
      <c r="Z333" s="26" t="s">
        <v>75</v>
      </c>
      <c r="AA333" s="28">
        <f t="shared" si="125"/>
        <v>0.70599999999999996</v>
      </c>
      <c r="AB333" s="28">
        <f t="shared" si="118"/>
        <v>0.65600000000000003</v>
      </c>
      <c r="AC333" s="28">
        <f t="shared" si="119"/>
        <v>1.1359999999999999</v>
      </c>
      <c r="AD333" s="28">
        <f t="shared" si="109"/>
        <v>-1</v>
      </c>
      <c r="AE333" s="28">
        <f t="shared" si="120"/>
        <v>0.22600000000000001</v>
      </c>
      <c r="AF333" s="28">
        <f t="shared" si="114"/>
        <v>4160.55</v>
      </c>
      <c r="AG333" s="28">
        <f t="shared" si="121"/>
        <v>0</v>
      </c>
      <c r="AH333" s="28">
        <f t="shared" si="122"/>
        <v>388.95600000000002</v>
      </c>
      <c r="AI333" s="28">
        <f t="shared" si="115"/>
        <v>0</v>
      </c>
      <c r="AJ333" s="28">
        <f t="shared" si="129"/>
        <v>3771.5940000000001</v>
      </c>
      <c r="AK333" s="30">
        <f>'Report Inputs'!$F$2</f>
        <v>55.9</v>
      </c>
      <c r="AL333" s="28">
        <f>'Report Inputs'!$E$2</f>
        <v>1080</v>
      </c>
      <c r="AM333" s="28">
        <f t="shared" si="124"/>
        <v>167.18</v>
      </c>
      <c r="AN333" s="26" t="s">
        <v>744</v>
      </c>
      <c r="AS333" s="26" t="s">
        <v>76</v>
      </c>
      <c r="AT333" s="26" t="s">
        <v>77</v>
      </c>
      <c r="AU333" s="26" t="s">
        <v>78</v>
      </c>
      <c r="AV333" s="31">
        <f t="shared" ca="1" si="126"/>
        <v>42376.365371064814</v>
      </c>
    </row>
    <row r="334" spans="1:48">
      <c r="A334" s="26">
        <v>7</v>
      </c>
      <c r="B334" s="26">
        <f>MONTH('Report Inputs'!$B$2)</f>
        <v>11</v>
      </c>
      <c r="C334" s="26">
        <f>YEAR('Report Inputs'!$B$2)</f>
        <v>2015</v>
      </c>
      <c r="D334" s="26">
        <v>66571</v>
      </c>
      <c r="F334" s="26" t="s">
        <v>65</v>
      </c>
      <c r="G334" s="26" t="s">
        <v>66</v>
      </c>
      <c r="H334" s="26" t="s">
        <v>67</v>
      </c>
      <c r="I334" s="26" t="s">
        <v>68</v>
      </c>
      <c r="J334" s="26" t="s">
        <v>69</v>
      </c>
      <c r="K334" s="26">
        <v>713</v>
      </c>
      <c r="L334" s="26" t="s">
        <v>70</v>
      </c>
      <c r="M334" s="26">
        <v>713</v>
      </c>
      <c r="N334" s="26" t="s">
        <v>71</v>
      </c>
      <c r="O334" s="26" t="s">
        <v>72</v>
      </c>
      <c r="P334" s="26">
        <v>45</v>
      </c>
      <c r="Q334" s="27">
        <v>19943</v>
      </c>
      <c r="R334" s="26">
        <v>0</v>
      </c>
      <c r="S334" s="26" t="s">
        <v>830</v>
      </c>
      <c r="T334" s="26" t="s">
        <v>80</v>
      </c>
      <c r="U334" s="26" t="str">
        <f t="shared" si="128"/>
        <v>PR</v>
      </c>
      <c r="V334" s="26">
        <f t="shared" si="127"/>
        <v>30</v>
      </c>
      <c r="W334" s="26" t="s">
        <v>84</v>
      </c>
      <c r="X334" s="26">
        <v>8</v>
      </c>
      <c r="Y334" s="26" t="s">
        <v>74</v>
      </c>
      <c r="Z334" s="26" t="s">
        <v>75</v>
      </c>
      <c r="AA334" s="28">
        <f t="shared" si="125"/>
        <v>0.51100000000000001</v>
      </c>
      <c r="AB334" s="28">
        <f t="shared" si="118"/>
        <v>0.47499999999999998</v>
      </c>
      <c r="AC334" s="28">
        <f t="shared" si="119"/>
        <v>0.82399999999999995</v>
      </c>
      <c r="AD334" s="28">
        <f t="shared" si="109"/>
        <v>0</v>
      </c>
      <c r="AE334" s="28">
        <f t="shared" si="120"/>
        <v>0.16200000000000001</v>
      </c>
      <c r="AF334" s="28">
        <f t="shared" si="114"/>
        <v>3064.57</v>
      </c>
      <c r="AG334" s="28">
        <f t="shared" si="121"/>
        <v>0</v>
      </c>
      <c r="AH334" s="28">
        <f t="shared" si="122"/>
        <v>335.863</v>
      </c>
      <c r="AI334" s="28">
        <f t="shared" si="115"/>
        <v>0</v>
      </c>
      <c r="AJ334" s="28">
        <f t="shared" si="129"/>
        <v>2728.7069999999999</v>
      </c>
      <c r="AK334" s="30">
        <f>'Report Inputs'!$F$2</f>
        <v>55.9</v>
      </c>
      <c r="AL334" s="28">
        <f>'Report Inputs'!$E$2</f>
        <v>1080</v>
      </c>
      <c r="AM334" s="28">
        <f t="shared" si="124"/>
        <v>120.953</v>
      </c>
      <c r="AN334" s="26" t="s">
        <v>744</v>
      </c>
      <c r="AS334" s="26" t="s">
        <v>76</v>
      </c>
      <c r="AT334" s="26" t="s">
        <v>77</v>
      </c>
      <c r="AU334" s="26" t="s">
        <v>78</v>
      </c>
      <c r="AV334" s="31">
        <f t="shared" ca="1" si="126"/>
        <v>42376.365371064814</v>
      </c>
    </row>
    <row r="335" spans="1:48">
      <c r="A335" s="26">
        <v>7</v>
      </c>
      <c r="B335" s="26">
        <f>MONTH('Report Inputs'!$B$2)</f>
        <v>11</v>
      </c>
      <c r="C335" s="26">
        <f>YEAR('Report Inputs'!$B$2)</f>
        <v>2015</v>
      </c>
      <c r="D335" s="26">
        <v>66571</v>
      </c>
      <c r="F335" s="26" t="s">
        <v>65</v>
      </c>
      <c r="G335" s="26" t="s">
        <v>66</v>
      </c>
      <c r="H335" s="26" t="s">
        <v>67</v>
      </c>
      <c r="I335" s="26" t="s">
        <v>68</v>
      </c>
      <c r="J335" s="26" t="s">
        <v>69</v>
      </c>
      <c r="K335" s="26">
        <v>713</v>
      </c>
      <c r="L335" s="26" t="s">
        <v>70</v>
      </c>
      <c r="M335" s="26">
        <v>713</v>
      </c>
      <c r="N335" s="26" t="s">
        <v>71</v>
      </c>
      <c r="O335" s="26" t="s">
        <v>72</v>
      </c>
      <c r="P335" s="26">
        <v>45</v>
      </c>
      <c r="Q335" s="27">
        <v>19944</v>
      </c>
      <c r="R335" s="26">
        <v>0</v>
      </c>
      <c r="S335" s="26" t="s">
        <v>834</v>
      </c>
      <c r="T335" s="26" t="s">
        <v>80</v>
      </c>
      <c r="U335" s="26" t="str">
        <f t="shared" si="128"/>
        <v>PR</v>
      </c>
      <c r="V335" s="26">
        <f t="shared" si="127"/>
        <v>30</v>
      </c>
      <c r="W335" s="26" t="s">
        <v>84</v>
      </c>
      <c r="X335" s="26">
        <v>8</v>
      </c>
      <c r="Y335" s="26" t="s">
        <v>74</v>
      </c>
      <c r="Z335" s="26" t="s">
        <v>75</v>
      </c>
      <c r="AA335" s="28">
        <f t="shared" si="125"/>
        <v>0.45200000000000001</v>
      </c>
      <c r="AB335" s="28">
        <f t="shared" si="118"/>
        <v>0.41599999999999998</v>
      </c>
      <c r="AC335" s="28">
        <f t="shared" si="119"/>
        <v>0.72599999999999998</v>
      </c>
      <c r="AD335" s="28">
        <f t="shared" si="109"/>
        <v>1</v>
      </c>
      <c r="AE335" s="28">
        <f t="shared" si="120"/>
        <v>0.14199999999999999</v>
      </c>
      <c r="AF335" s="28">
        <f t="shared" si="114"/>
        <v>2748.96</v>
      </c>
      <c r="AG335" s="28">
        <f t="shared" si="121"/>
        <v>0</v>
      </c>
      <c r="AH335" s="28">
        <f t="shared" si="122"/>
        <v>355.637</v>
      </c>
      <c r="AI335" s="28">
        <f t="shared" si="115"/>
        <v>0</v>
      </c>
      <c r="AJ335" s="28">
        <f t="shared" si="129"/>
        <v>2393.3229999999999</v>
      </c>
      <c r="AK335" s="30">
        <f>'Report Inputs'!$F$2</f>
        <v>55.9</v>
      </c>
      <c r="AL335" s="28">
        <f>'Report Inputs'!$E$2</f>
        <v>1080</v>
      </c>
      <c r="AM335" s="28">
        <f t="shared" si="124"/>
        <v>106.087</v>
      </c>
      <c r="AN335" s="26" t="s">
        <v>744</v>
      </c>
      <c r="AS335" s="26" t="s">
        <v>76</v>
      </c>
      <c r="AT335" s="26" t="s">
        <v>77</v>
      </c>
      <c r="AU335" s="26" t="s">
        <v>78</v>
      </c>
      <c r="AV335" s="31">
        <f t="shared" ca="1" si="126"/>
        <v>42376.365371064814</v>
      </c>
    </row>
    <row r="336" spans="1:48">
      <c r="A336" s="26">
        <v>7</v>
      </c>
      <c r="B336" s="26">
        <f>MONTH('Report Inputs'!$B$2)</f>
        <v>11</v>
      </c>
      <c r="C336" s="26">
        <f>YEAR('Report Inputs'!$B$2)</f>
        <v>2015</v>
      </c>
      <c r="D336" s="26">
        <v>66571</v>
      </c>
      <c r="F336" s="26" t="s">
        <v>65</v>
      </c>
      <c r="G336" s="26" t="s">
        <v>66</v>
      </c>
      <c r="H336" s="26" t="s">
        <v>67</v>
      </c>
      <c r="I336" s="26" t="s">
        <v>68</v>
      </c>
      <c r="J336" s="26" t="s">
        <v>69</v>
      </c>
      <c r="K336" s="26">
        <v>713</v>
      </c>
      <c r="L336" s="26" t="s">
        <v>70</v>
      </c>
      <c r="M336" s="26">
        <v>713</v>
      </c>
      <c r="N336" s="26" t="s">
        <v>71</v>
      </c>
      <c r="O336" s="26" t="s">
        <v>72</v>
      </c>
      <c r="P336" s="26">
        <v>45</v>
      </c>
      <c r="Q336" s="27">
        <v>20011</v>
      </c>
      <c r="R336" s="26">
        <v>0</v>
      </c>
      <c r="S336" s="26" t="s">
        <v>885</v>
      </c>
      <c r="T336" s="26" t="s">
        <v>80</v>
      </c>
      <c r="U336" s="26" t="str">
        <f t="shared" si="128"/>
        <v>PR</v>
      </c>
      <c r="V336" s="26">
        <v>28</v>
      </c>
      <c r="W336" s="26" t="s">
        <v>94</v>
      </c>
      <c r="X336" s="26">
        <v>8</v>
      </c>
      <c r="Y336" s="26" t="s">
        <v>74</v>
      </c>
      <c r="Z336" s="26" t="s">
        <v>75</v>
      </c>
      <c r="AA336" s="28">
        <f t="shared" si="125"/>
        <v>0.49299999999999999</v>
      </c>
      <c r="AB336" s="28">
        <f t="shared" si="118"/>
        <v>0.438</v>
      </c>
      <c r="AC336" s="28">
        <f t="shared" si="119"/>
        <v>0.77800000000000002</v>
      </c>
      <c r="AD336" s="28">
        <f t="shared" si="109"/>
        <v>1</v>
      </c>
      <c r="AE336" s="28">
        <f t="shared" si="120"/>
        <v>0.153</v>
      </c>
      <c r="AF336" s="28">
        <f t="shared" si="114"/>
        <v>2834.8</v>
      </c>
      <c r="AG336" s="28">
        <f t="shared" si="121"/>
        <v>0</v>
      </c>
      <c r="AH336" s="28">
        <v>313</v>
      </c>
      <c r="AI336" s="28">
        <f t="shared" si="115"/>
        <v>0</v>
      </c>
      <c r="AJ336" s="28">
        <f t="shared" si="129"/>
        <v>2522.4630000000002</v>
      </c>
      <c r="AK336" s="30">
        <f>'Report Inputs'!$F$2</f>
        <v>55.9</v>
      </c>
      <c r="AL336" s="28">
        <f>'Report Inputs'!$E$2</f>
        <v>1080</v>
      </c>
      <c r="AM336" s="28">
        <f t="shared" si="124"/>
        <v>77.459000000000003</v>
      </c>
      <c r="AN336" s="26" t="s">
        <v>744</v>
      </c>
      <c r="AS336" s="26" t="s">
        <v>76</v>
      </c>
      <c r="AT336" s="26" t="s">
        <v>77</v>
      </c>
      <c r="AU336" s="26" t="s">
        <v>78</v>
      </c>
      <c r="AV336" s="31">
        <f t="shared" ca="1" si="126"/>
        <v>42376.365371064814</v>
      </c>
    </row>
    <row r="337" spans="1:48">
      <c r="A337" s="26">
        <v>7</v>
      </c>
      <c r="B337" s="26">
        <f>MONTH('Report Inputs'!$B$2)</f>
        <v>11</v>
      </c>
      <c r="C337" s="26">
        <f>YEAR('Report Inputs'!$B$2)</f>
        <v>2015</v>
      </c>
      <c r="D337" s="26">
        <v>66571</v>
      </c>
      <c r="F337" s="26" t="s">
        <v>65</v>
      </c>
      <c r="G337" s="26" t="s">
        <v>66</v>
      </c>
      <c r="H337" s="26" t="s">
        <v>67</v>
      </c>
      <c r="I337" s="26" t="s">
        <v>68</v>
      </c>
      <c r="J337" s="26" t="s">
        <v>69</v>
      </c>
      <c r="K337" s="26">
        <v>713</v>
      </c>
      <c r="L337" s="26" t="s">
        <v>70</v>
      </c>
      <c r="M337" s="26">
        <v>713</v>
      </c>
      <c r="N337" s="26" t="s">
        <v>71</v>
      </c>
      <c r="O337" s="26" t="s">
        <v>72</v>
      </c>
      <c r="P337" s="26">
        <v>45</v>
      </c>
      <c r="Q337" s="27">
        <v>20012</v>
      </c>
      <c r="R337" s="26">
        <v>0</v>
      </c>
      <c r="S337" s="26" t="s">
        <v>884</v>
      </c>
      <c r="T337" s="26" t="s">
        <v>80</v>
      </c>
      <c r="U337" s="26" t="str">
        <f t="shared" si="128"/>
        <v>PR</v>
      </c>
      <c r="V337" s="26">
        <v>28</v>
      </c>
      <c r="W337" s="26" t="s">
        <v>94</v>
      </c>
      <c r="X337" s="26">
        <v>8</v>
      </c>
      <c r="Y337" s="26" t="s">
        <v>74</v>
      </c>
      <c r="Z337" s="26" t="s">
        <v>75</v>
      </c>
      <c r="AA337" s="28">
        <f t="shared" si="125"/>
        <v>0.55200000000000005</v>
      </c>
      <c r="AB337" s="28">
        <f t="shared" si="118"/>
        <v>0.52400000000000002</v>
      </c>
      <c r="AC337" s="28">
        <f t="shared" si="119"/>
        <v>0.89400000000000002</v>
      </c>
      <c r="AD337" s="28">
        <f t="shared" si="109"/>
        <v>-1</v>
      </c>
      <c r="AE337" s="28">
        <f t="shared" si="120"/>
        <v>0.182</v>
      </c>
      <c r="AF337" s="28">
        <f t="shared" si="114"/>
        <v>3340.7</v>
      </c>
      <c r="AG337" s="28">
        <f t="shared" si="121"/>
        <v>0</v>
      </c>
      <c r="AH337" s="28">
        <v>335</v>
      </c>
      <c r="AI337" s="28">
        <f t="shared" si="115"/>
        <v>0</v>
      </c>
      <c r="AJ337" s="28">
        <f t="shared" si="129"/>
        <v>3006.4090000000001</v>
      </c>
      <c r="AK337" s="30">
        <f>'Report Inputs'!$F$2</f>
        <v>55.9</v>
      </c>
      <c r="AL337" s="28">
        <f>'Report Inputs'!$E$2</f>
        <v>1080</v>
      </c>
      <c r="AM337" s="28">
        <f t="shared" si="124"/>
        <v>92.319000000000003</v>
      </c>
      <c r="AN337" s="26" t="s">
        <v>744</v>
      </c>
      <c r="AS337" s="26" t="s">
        <v>76</v>
      </c>
      <c r="AT337" s="26" t="s">
        <v>77</v>
      </c>
      <c r="AU337" s="26" t="s">
        <v>78</v>
      </c>
      <c r="AV337" s="31">
        <f t="shared" ca="1" si="126"/>
        <v>42376.365371064814</v>
      </c>
    </row>
    <row r="338" spans="1:48">
      <c r="A338" s="26">
        <v>7</v>
      </c>
      <c r="B338" s="26">
        <f>MONTH('Report Inputs'!$B$2)</f>
        <v>11</v>
      </c>
      <c r="C338" s="26">
        <f>YEAR('Report Inputs'!$B$2)</f>
        <v>2015</v>
      </c>
      <c r="D338" s="26">
        <v>66571</v>
      </c>
      <c r="F338" s="26" t="s">
        <v>65</v>
      </c>
      <c r="G338" s="26" t="s">
        <v>66</v>
      </c>
      <c r="H338" s="26" t="s">
        <v>67</v>
      </c>
      <c r="I338" s="26" t="s">
        <v>68</v>
      </c>
      <c r="J338" s="26" t="s">
        <v>69</v>
      </c>
      <c r="K338" s="26">
        <v>713</v>
      </c>
      <c r="L338" s="26" t="s">
        <v>70</v>
      </c>
      <c r="M338" s="26">
        <v>713</v>
      </c>
      <c r="N338" s="26" t="s">
        <v>71</v>
      </c>
      <c r="O338" s="26" t="s">
        <v>72</v>
      </c>
      <c r="P338" s="26">
        <v>45</v>
      </c>
      <c r="Q338" s="27">
        <v>20013</v>
      </c>
      <c r="R338" s="26">
        <v>0</v>
      </c>
      <c r="S338" s="26" t="s">
        <v>859</v>
      </c>
      <c r="T338" s="26" t="s">
        <v>80</v>
      </c>
      <c r="U338" s="26" t="str">
        <f t="shared" si="128"/>
        <v>SI</v>
      </c>
      <c r="V338" s="26">
        <f t="shared" si="127"/>
        <v>0</v>
      </c>
      <c r="W338" s="26" t="s">
        <v>94</v>
      </c>
      <c r="X338" s="26">
        <v>8</v>
      </c>
      <c r="Y338" s="26" t="s">
        <v>74</v>
      </c>
      <c r="Z338" s="26" t="s">
        <v>75</v>
      </c>
      <c r="AA338" s="28">
        <f t="shared" si="125"/>
        <v>0</v>
      </c>
      <c r="AB338" s="28">
        <f t="shared" si="118"/>
        <v>0</v>
      </c>
      <c r="AC338" s="28">
        <f t="shared" si="119"/>
        <v>0</v>
      </c>
      <c r="AD338" s="28">
        <f t="shared" si="109"/>
        <v>0</v>
      </c>
      <c r="AE338" s="28">
        <f t="shared" si="120"/>
        <v>0</v>
      </c>
      <c r="AF338" s="28">
        <f t="shared" si="114"/>
        <v>0</v>
      </c>
      <c r="AG338" s="28">
        <f t="shared" si="121"/>
        <v>0</v>
      </c>
      <c r="AH338" s="28">
        <f t="shared" si="122"/>
        <v>0</v>
      </c>
      <c r="AI338" s="28">
        <f t="shared" si="115"/>
        <v>0</v>
      </c>
      <c r="AJ338" s="28">
        <f t="shared" si="129"/>
        <v>0</v>
      </c>
      <c r="AM338" s="28">
        <f t="shared" si="124"/>
        <v>0</v>
      </c>
      <c r="AN338" s="26" t="s">
        <v>744</v>
      </c>
      <c r="AS338" s="26" t="s">
        <v>76</v>
      </c>
      <c r="AT338" s="26" t="s">
        <v>77</v>
      </c>
      <c r="AU338" s="26" t="s">
        <v>78</v>
      </c>
      <c r="AV338" s="31">
        <f t="shared" ca="1" si="126"/>
        <v>42376.365371064814</v>
      </c>
    </row>
    <row r="339" spans="1:48">
      <c r="A339" s="26">
        <v>7</v>
      </c>
      <c r="B339" s="26">
        <f>MONTH('Report Inputs'!$B$2)</f>
        <v>11</v>
      </c>
      <c r="C339" s="26">
        <f>YEAR('Report Inputs'!$B$2)</f>
        <v>2015</v>
      </c>
      <c r="D339" s="26">
        <v>66571</v>
      </c>
      <c r="F339" s="26" t="s">
        <v>65</v>
      </c>
      <c r="G339" s="26" t="s">
        <v>66</v>
      </c>
      <c r="H339" s="26" t="s">
        <v>67</v>
      </c>
      <c r="I339" s="26" t="s">
        <v>68</v>
      </c>
      <c r="J339" s="26" t="s">
        <v>69</v>
      </c>
      <c r="K339" s="26">
        <v>713</v>
      </c>
      <c r="L339" s="26" t="s">
        <v>70</v>
      </c>
      <c r="M339" s="26">
        <v>713</v>
      </c>
      <c r="N339" s="26" t="s">
        <v>71</v>
      </c>
      <c r="O339" s="26" t="s">
        <v>72</v>
      </c>
      <c r="P339" s="26">
        <v>45</v>
      </c>
      <c r="Q339" s="27">
        <v>20017</v>
      </c>
      <c r="R339" s="26">
        <v>0</v>
      </c>
      <c r="S339" s="26" t="s">
        <v>881</v>
      </c>
      <c r="T339" s="26" t="s">
        <v>80</v>
      </c>
      <c r="U339" s="26" t="str">
        <f t="shared" si="128"/>
        <v>PR</v>
      </c>
      <c r="V339" s="26">
        <f t="shared" si="127"/>
        <v>27</v>
      </c>
      <c r="W339" s="26" t="s">
        <v>94</v>
      </c>
      <c r="X339" s="26">
        <v>8</v>
      </c>
      <c r="Y339" s="26" t="s">
        <v>74</v>
      </c>
      <c r="Z339" s="26" t="s">
        <v>75</v>
      </c>
      <c r="AA339" s="28">
        <f t="shared" si="125"/>
        <v>0.35799999999999998</v>
      </c>
      <c r="AB339" s="28">
        <f t="shared" si="118"/>
        <v>0.23100000000000001</v>
      </c>
      <c r="AC339" s="28">
        <f t="shared" si="119"/>
        <v>0.502</v>
      </c>
      <c r="AD339" s="28">
        <f t="shared" si="109"/>
        <v>1</v>
      </c>
      <c r="AE339" s="28">
        <f t="shared" si="120"/>
        <v>8.6999999999999994E-2</v>
      </c>
      <c r="AF339" s="28">
        <f t="shared" si="114"/>
        <v>1585.6</v>
      </c>
      <c r="AG339" s="28">
        <f t="shared" si="121"/>
        <v>0</v>
      </c>
      <c r="AH339" s="28">
        <v>259</v>
      </c>
      <c r="AI339" s="28">
        <f t="shared" si="115"/>
        <v>0</v>
      </c>
      <c r="AJ339" s="28">
        <f t="shared" si="129"/>
        <v>1327.4760000000001</v>
      </c>
      <c r="AK339" s="30">
        <f>'Report Inputs'!$F$2</f>
        <v>55.9</v>
      </c>
      <c r="AL339" s="28">
        <f>'Report Inputs'!$E$2</f>
        <v>1080</v>
      </c>
      <c r="AM339" s="28">
        <f t="shared" si="124"/>
        <v>40.764000000000003</v>
      </c>
      <c r="AN339" s="26" t="s">
        <v>744</v>
      </c>
      <c r="AS339" s="26" t="s">
        <v>76</v>
      </c>
      <c r="AT339" s="26" t="s">
        <v>77</v>
      </c>
      <c r="AU339" s="26" t="s">
        <v>78</v>
      </c>
      <c r="AV339" s="31">
        <f t="shared" ca="1" si="126"/>
        <v>42376.365371064814</v>
      </c>
    </row>
    <row r="340" spans="1:48">
      <c r="A340" s="26">
        <v>7</v>
      </c>
      <c r="B340" s="26">
        <f>MONTH('Report Inputs'!$B$2)</f>
        <v>11</v>
      </c>
      <c r="C340" s="26">
        <f>YEAR('Report Inputs'!$B$2)</f>
        <v>2015</v>
      </c>
      <c r="D340" s="26">
        <v>66571</v>
      </c>
      <c r="F340" s="26" t="s">
        <v>65</v>
      </c>
      <c r="G340" s="26" t="s">
        <v>66</v>
      </c>
      <c r="H340" s="26" t="s">
        <v>67</v>
      </c>
      <c r="I340" s="26" t="s">
        <v>68</v>
      </c>
      <c r="J340" s="26" t="s">
        <v>69</v>
      </c>
      <c r="K340" s="26">
        <v>713</v>
      </c>
      <c r="L340" s="26" t="s">
        <v>70</v>
      </c>
      <c r="M340" s="26">
        <v>713</v>
      </c>
      <c r="N340" s="26" t="s">
        <v>71</v>
      </c>
      <c r="O340" s="26" t="s">
        <v>72</v>
      </c>
      <c r="P340" s="26">
        <v>45</v>
      </c>
      <c r="Q340" s="27">
        <v>20020</v>
      </c>
      <c r="R340" s="26">
        <v>0</v>
      </c>
      <c r="S340" s="26" t="s">
        <v>864</v>
      </c>
      <c r="T340" s="26" t="s">
        <v>80</v>
      </c>
      <c r="U340" s="26" t="str">
        <f t="shared" si="128"/>
        <v>PR</v>
      </c>
      <c r="V340" s="26">
        <f t="shared" si="127"/>
        <v>30</v>
      </c>
      <c r="W340" s="26" t="s">
        <v>94</v>
      </c>
      <c r="X340" s="26">
        <v>8</v>
      </c>
      <c r="Y340" s="26" t="s">
        <v>74</v>
      </c>
      <c r="Z340" s="26" t="s">
        <v>75</v>
      </c>
      <c r="AA340" s="28">
        <f t="shared" si="125"/>
        <v>0.82299999999999995</v>
      </c>
      <c r="AB340" s="28">
        <f t="shared" si="118"/>
        <v>0.85</v>
      </c>
      <c r="AC340" s="28">
        <f t="shared" si="119"/>
        <v>1.3819999999999999</v>
      </c>
      <c r="AD340" s="28">
        <f t="shared" si="109"/>
        <v>-1</v>
      </c>
      <c r="AE340" s="28">
        <f t="shared" si="120"/>
        <v>0.29099999999999998</v>
      </c>
      <c r="AF340" s="28">
        <f t="shared" si="114"/>
        <v>5302</v>
      </c>
      <c r="AG340" s="28">
        <f t="shared" si="121"/>
        <v>0</v>
      </c>
      <c r="AH340" s="28">
        <f t="shared" si="122"/>
        <v>419.40800000000002</v>
      </c>
      <c r="AI340" s="28">
        <f t="shared" si="115"/>
        <v>0</v>
      </c>
      <c r="AJ340" s="28">
        <f t="shared" si="129"/>
        <v>4882.5919999999996</v>
      </c>
      <c r="AK340" s="30">
        <f>'Report Inputs'!$F$2</f>
        <v>55.9</v>
      </c>
      <c r="AL340" s="28">
        <f>'Report Inputs'!$E$2</f>
        <v>1080</v>
      </c>
      <c r="AM340" s="28">
        <f t="shared" si="124"/>
        <v>149.93299999999999</v>
      </c>
      <c r="AN340" s="26" t="s">
        <v>744</v>
      </c>
      <c r="AS340" s="26" t="s">
        <v>76</v>
      </c>
      <c r="AT340" s="26" t="s">
        <v>77</v>
      </c>
      <c r="AU340" s="26" t="s">
        <v>78</v>
      </c>
      <c r="AV340" s="31">
        <f t="shared" ca="1" si="126"/>
        <v>42376.365371064814</v>
      </c>
    </row>
    <row r="341" spans="1:48">
      <c r="A341" s="26">
        <v>7</v>
      </c>
      <c r="B341" s="26">
        <f>MONTH('Report Inputs'!$B$2)</f>
        <v>11</v>
      </c>
      <c r="C341" s="26">
        <f>YEAR('Report Inputs'!$B$2)</f>
        <v>2015</v>
      </c>
      <c r="D341" s="26">
        <v>66571</v>
      </c>
      <c r="F341" s="26" t="s">
        <v>65</v>
      </c>
      <c r="G341" s="26" t="s">
        <v>66</v>
      </c>
      <c r="H341" s="26" t="s">
        <v>67</v>
      </c>
      <c r="I341" s="26" t="s">
        <v>68</v>
      </c>
      <c r="J341" s="26" t="s">
        <v>69</v>
      </c>
      <c r="K341" s="26">
        <v>713</v>
      </c>
      <c r="L341" s="26" t="s">
        <v>70</v>
      </c>
      <c r="M341" s="26">
        <v>713</v>
      </c>
      <c r="N341" s="26" t="s">
        <v>71</v>
      </c>
      <c r="O341" s="26" t="s">
        <v>72</v>
      </c>
      <c r="P341" s="26">
        <v>45</v>
      </c>
      <c r="Q341" s="27">
        <v>20023</v>
      </c>
      <c r="R341" s="26">
        <v>0</v>
      </c>
      <c r="S341" s="26" t="s">
        <v>865</v>
      </c>
      <c r="T341" s="26" t="s">
        <v>80</v>
      </c>
      <c r="U341" s="26" t="str">
        <f t="shared" si="128"/>
        <v>SI</v>
      </c>
      <c r="V341" s="26">
        <f t="shared" si="127"/>
        <v>0</v>
      </c>
      <c r="W341" s="26" t="s">
        <v>94</v>
      </c>
      <c r="X341" s="26">
        <v>8</v>
      </c>
      <c r="Y341" s="26" t="s">
        <v>74</v>
      </c>
      <c r="Z341" s="26" t="s">
        <v>75</v>
      </c>
      <c r="AA341" s="28">
        <f t="shared" si="125"/>
        <v>4.3999999999999997E-2</v>
      </c>
      <c r="AB341" s="28">
        <f t="shared" si="118"/>
        <v>0</v>
      </c>
      <c r="AC341" s="28">
        <f t="shared" si="119"/>
        <v>4.1000000000000002E-2</v>
      </c>
      <c r="AD341" s="28">
        <f t="shared" si="109"/>
        <v>0</v>
      </c>
      <c r="AE341" s="28">
        <f t="shared" si="120"/>
        <v>3.0000000000000001E-3</v>
      </c>
      <c r="AF341" s="28">
        <f t="shared" si="114"/>
        <v>0</v>
      </c>
      <c r="AG341" s="28">
        <f t="shared" si="121"/>
        <v>0</v>
      </c>
      <c r="AH341" s="28">
        <f t="shared" si="122"/>
        <v>0</v>
      </c>
      <c r="AI341" s="28">
        <f t="shared" si="115"/>
        <v>0</v>
      </c>
      <c r="AJ341" s="28">
        <f t="shared" si="129"/>
        <v>0</v>
      </c>
      <c r="AM341" s="28">
        <f t="shared" si="124"/>
        <v>0</v>
      </c>
      <c r="AN341" s="26" t="s">
        <v>744</v>
      </c>
      <c r="AS341" s="26" t="s">
        <v>76</v>
      </c>
      <c r="AT341" s="26" t="s">
        <v>77</v>
      </c>
      <c r="AU341" s="26" t="s">
        <v>78</v>
      </c>
      <c r="AV341" s="31">
        <f t="shared" ca="1" si="126"/>
        <v>42376.365371064814</v>
      </c>
    </row>
    <row r="342" spans="1:48">
      <c r="A342" s="26">
        <v>7</v>
      </c>
      <c r="B342" s="26">
        <f>MONTH('Report Inputs'!$B$2)</f>
        <v>11</v>
      </c>
      <c r="C342" s="26">
        <f>YEAR('Report Inputs'!$B$2)</f>
        <v>2015</v>
      </c>
      <c r="D342" s="26">
        <v>66571</v>
      </c>
      <c r="F342" s="26" t="s">
        <v>65</v>
      </c>
      <c r="G342" s="26" t="s">
        <v>66</v>
      </c>
      <c r="H342" s="26" t="s">
        <v>67</v>
      </c>
      <c r="I342" s="26" t="s">
        <v>68</v>
      </c>
      <c r="J342" s="26" t="s">
        <v>69</v>
      </c>
      <c r="K342" s="26">
        <v>713</v>
      </c>
      <c r="L342" s="26" t="s">
        <v>70</v>
      </c>
      <c r="M342" s="26">
        <v>713</v>
      </c>
      <c r="N342" s="26" t="s">
        <v>71</v>
      </c>
      <c r="O342" s="26" t="s">
        <v>72</v>
      </c>
      <c r="P342" s="26">
        <v>45</v>
      </c>
      <c r="Q342" s="27">
        <v>20024</v>
      </c>
      <c r="R342" s="26">
        <v>0</v>
      </c>
      <c r="S342" s="26" t="s">
        <v>897</v>
      </c>
      <c r="T342" s="26" t="s">
        <v>80</v>
      </c>
      <c r="U342" s="26" t="str">
        <f t="shared" si="128"/>
        <v>SI</v>
      </c>
      <c r="V342" s="26">
        <f t="shared" si="127"/>
        <v>0</v>
      </c>
      <c r="W342" s="26" t="s">
        <v>94</v>
      </c>
      <c r="X342" s="26">
        <v>8</v>
      </c>
      <c r="Y342" s="26" t="s">
        <v>74</v>
      </c>
      <c r="Z342" s="26" t="s">
        <v>75</v>
      </c>
      <c r="AA342" s="28">
        <f t="shared" si="125"/>
        <v>0</v>
      </c>
      <c r="AB342" s="28">
        <f t="shared" si="118"/>
        <v>0</v>
      </c>
      <c r="AC342" s="28">
        <f t="shared" si="119"/>
        <v>0</v>
      </c>
      <c r="AD342" s="28">
        <f t="shared" si="109"/>
        <v>0</v>
      </c>
      <c r="AE342" s="28">
        <f t="shared" si="120"/>
        <v>0</v>
      </c>
      <c r="AF342" s="28">
        <f t="shared" si="114"/>
        <v>0</v>
      </c>
      <c r="AG342" s="28">
        <f t="shared" si="121"/>
        <v>0</v>
      </c>
      <c r="AH342" s="28">
        <f t="shared" si="122"/>
        <v>0</v>
      </c>
      <c r="AI342" s="28">
        <f t="shared" si="115"/>
        <v>0</v>
      </c>
      <c r="AJ342" s="28">
        <f t="shared" si="129"/>
        <v>0</v>
      </c>
      <c r="AM342" s="28">
        <f t="shared" si="124"/>
        <v>0</v>
      </c>
      <c r="AN342" s="26" t="s">
        <v>744</v>
      </c>
      <c r="AS342" s="26" t="s">
        <v>76</v>
      </c>
      <c r="AT342" s="26" t="s">
        <v>77</v>
      </c>
      <c r="AU342" s="26" t="s">
        <v>78</v>
      </c>
      <c r="AV342" s="31">
        <f t="shared" ca="1" si="126"/>
        <v>42376.365371064814</v>
      </c>
    </row>
    <row r="343" spans="1:48">
      <c r="A343" s="26">
        <v>7</v>
      </c>
      <c r="B343" s="26">
        <f>MONTH('Report Inputs'!$B$2)</f>
        <v>11</v>
      </c>
      <c r="C343" s="26">
        <f>YEAR('Report Inputs'!$B$2)</f>
        <v>2015</v>
      </c>
      <c r="D343" s="26">
        <v>66571</v>
      </c>
      <c r="F343" s="26" t="s">
        <v>65</v>
      </c>
      <c r="G343" s="26" t="s">
        <v>66</v>
      </c>
      <c r="H343" s="26" t="s">
        <v>67</v>
      </c>
      <c r="I343" s="26" t="s">
        <v>68</v>
      </c>
      <c r="J343" s="26" t="s">
        <v>69</v>
      </c>
      <c r="K343" s="26">
        <v>713</v>
      </c>
      <c r="L343" s="26" t="s">
        <v>70</v>
      </c>
      <c r="M343" s="26">
        <v>713</v>
      </c>
      <c r="N343" s="26" t="s">
        <v>71</v>
      </c>
      <c r="O343" s="26" t="s">
        <v>72</v>
      </c>
      <c r="P343" s="26">
        <v>45</v>
      </c>
      <c r="Q343" s="27">
        <v>20056</v>
      </c>
      <c r="R343" s="26">
        <v>0</v>
      </c>
      <c r="S343" s="26" t="s">
        <v>934</v>
      </c>
      <c r="T343" s="26" t="s">
        <v>80</v>
      </c>
      <c r="U343" s="26" t="str">
        <f t="shared" si="128"/>
        <v>PR</v>
      </c>
      <c r="V343" s="26">
        <f t="shared" si="127"/>
        <v>30</v>
      </c>
      <c r="W343" s="26" t="s">
        <v>90</v>
      </c>
      <c r="X343" s="26">
        <v>8</v>
      </c>
      <c r="Y343" s="26" t="s">
        <v>74</v>
      </c>
      <c r="Z343" s="26" t="s">
        <v>75</v>
      </c>
      <c r="AA343" s="28">
        <f t="shared" si="125"/>
        <v>0.60899999999999999</v>
      </c>
      <c r="AB343" s="28">
        <f t="shared" si="118"/>
        <v>5.9240000000000004</v>
      </c>
      <c r="AC343" s="28">
        <f t="shared" si="119"/>
        <v>6.0839999999999996</v>
      </c>
      <c r="AD343" s="28">
        <f t="shared" si="109"/>
        <v>-1</v>
      </c>
      <c r="AE343" s="28">
        <f t="shared" si="120"/>
        <v>0.44900000000000001</v>
      </c>
      <c r="AF343" s="28">
        <f t="shared" si="114"/>
        <v>4768.59</v>
      </c>
      <c r="AG343" s="28">
        <f t="shared" si="121"/>
        <v>1.04</v>
      </c>
      <c r="AH343" s="28">
        <f t="shared" si="122"/>
        <v>301.75</v>
      </c>
      <c r="AI343" s="28">
        <f t="shared" si="115"/>
        <v>0</v>
      </c>
      <c r="AJ343" s="28">
        <f t="shared" si="129"/>
        <v>4465.8</v>
      </c>
      <c r="AK343" s="30">
        <f>'Report Inputs'!$F$2</f>
        <v>55.9</v>
      </c>
      <c r="AL343" s="28">
        <f>'Report Inputs'!$E$2</f>
        <v>1080</v>
      </c>
      <c r="AM343" s="28">
        <f t="shared" si="124"/>
        <v>160.30699999999999</v>
      </c>
      <c r="AN343" s="26" t="s">
        <v>744</v>
      </c>
      <c r="AS343" s="26" t="s">
        <v>76</v>
      </c>
      <c r="AT343" s="26" t="s">
        <v>77</v>
      </c>
      <c r="AU343" s="26" t="s">
        <v>78</v>
      </c>
      <c r="AV343" s="31">
        <f t="shared" ca="1" si="126"/>
        <v>42376.365371064814</v>
      </c>
    </row>
    <row r="344" spans="1:48">
      <c r="A344" s="26">
        <v>7</v>
      </c>
      <c r="B344" s="26">
        <f>MONTH('Report Inputs'!$B$2)</f>
        <v>11</v>
      </c>
      <c r="C344" s="26">
        <f>YEAR('Report Inputs'!$B$2)</f>
        <v>2015</v>
      </c>
      <c r="D344" s="26">
        <v>66571</v>
      </c>
      <c r="F344" s="26" t="s">
        <v>65</v>
      </c>
      <c r="G344" s="26" t="s">
        <v>66</v>
      </c>
      <c r="H344" s="26" t="s">
        <v>67</v>
      </c>
      <c r="I344" s="26" t="s">
        <v>68</v>
      </c>
      <c r="J344" s="26" t="s">
        <v>69</v>
      </c>
      <c r="K344" s="26">
        <v>713</v>
      </c>
      <c r="L344" s="26" t="s">
        <v>70</v>
      </c>
      <c r="M344" s="26">
        <v>713</v>
      </c>
      <c r="N344" s="26" t="s">
        <v>71</v>
      </c>
      <c r="O344" s="26" t="s">
        <v>72</v>
      </c>
      <c r="P344" s="26">
        <v>45</v>
      </c>
      <c r="Q344" s="27">
        <v>20057</v>
      </c>
      <c r="R344" s="26">
        <v>0</v>
      </c>
      <c r="S344" s="26" t="s">
        <v>920</v>
      </c>
      <c r="T344" s="26" t="s">
        <v>80</v>
      </c>
      <c r="U344" s="26" t="str">
        <f t="shared" si="128"/>
        <v>PR</v>
      </c>
      <c r="V344" s="26">
        <f t="shared" si="127"/>
        <v>30</v>
      </c>
      <c r="W344" s="26" t="s">
        <v>90</v>
      </c>
      <c r="X344" s="26">
        <v>8</v>
      </c>
      <c r="Y344" s="26" t="s">
        <v>74</v>
      </c>
      <c r="Z344" s="26" t="s">
        <v>75</v>
      </c>
      <c r="AA344" s="28">
        <f t="shared" si="125"/>
        <v>0.48199999999999998</v>
      </c>
      <c r="AB344" s="28">
        <f t="shared" ref="AB344:AB375" si="130">IF(ISNA(VLOOKUP($Q344,data,7,FALSE)),0,VLOOKUP($Q344,data,7,FALSE))</f>
        <v>4.5019999999999998</v>
      </c>
      <c r="AC344" s="28">
        <f t="shared" ref="AC344:AC375" si="131">IF(ISNA(VLOOKUP($Q344,data,6,FALSE)),0,VLOOKUP($Q344,data,6,FALSE))</f>
        <v>4.6420000000000003</v>
      </c>
      <c r="AD344" s="28">
        <f t="shared" si="109"/>
        <v>0</v>
      </c>
      <c r="AE344" s="28">
        <f t="shared" ref="AE344:AE375" si="132">IF(ISNA(VLOOKUP($Q344,data,13,FALSE)),0,VLOOKUP($Q344,data,13,FALSE))</f>
        <v>0.34200000000000003</v>
      </c>
      <c r="AF344" s="28">
        <f t="shared" si="114"/>
        <v>3646.94</v>
      </c>
      <c r="AG344" s="28">
        <f t="shared" si="121"/>
        <v>0.79</v>
      </c>
      <c r="AH344" s="28">
        <f t="shared" si="122"/>
        <v>253.083</v>
      </c>
      <c r="AI344" s="28">
        <f t="shared" si="115"/>
        <v>0</v>
      </c>
      <c r="AJ344" s="28">
        <f t="shared" si="129"/>
        <v>3393.067</v>
      </c>
      <c r="AK344" s="30">
        <f>'Report Inputs'!$F$2</f>
        <v>55.9</v>
      </c>
      <c r="AL344" s="28">
        <f>'Report Inputs'!$E$2</f>
        <v>1080</v>
      </c>
      <c r="AM344" s="28">
        <f t="shared" ref="AM344:AM375" si="133">IF(ISNA(VLOOKUP($Q344,data,14,FALSE)),0,VLOOKUP($Q344,data,14,FALSE))</f>
        <v>121.79900000000001</v>
      </c>
      <c r="AN344" s="26" t="s">
        <v>744</v>
      </c>
      <c r="AS344" s="26" t="s">
        <v>76</v>
      </c>
      <c r="AT344" s="26" t="s">
        <v>77</v>
      </c>
      <c r="AU344" s="26" t="s">
        <v>78</v>
      </c>
      <c r="AV344" s="31">
        <f t="shared" ca="1" si="126"/>
        <v>42376.365371064814</v>
      </c>
    </row>
    <row r="345" spans="1:48">
      <c r="A345" s="26">
        <v>7</v>
      </c>
      <c r="B345" s="26">
        <f>MONTH('Report Inputs'!$B$2)</f>
        <v>11</v>
      </c>
      <c r="C345" s="26">
        <f>YEAR('Report Inputs'!$B$2)</f>
        <v>2015</v>
      </c>
      <c r="D345" s="26">
        <v>66571</v>
      </c>
      <c r="F345" s="26" t="s">
        <v>65</v>
      </c>
      <c r="G345" s="26" t="s">
        <v>66</v>
      </c>
      <c r="H345" s="26" t="s">
        <v>67</v>
      </c>
      <c r="I345" s="26" t="s">
        <v>68</v>
      </c>
      <c r="J345" s="26" t="s">
        <v>69</v>
      </c>
      <c r="K345" s="26">
        <v>713</v>
      </c>
      <c r="L345" s="26" t="s">
        <v>70</v>
      </c>
      <c r="M345" s="26">
        <v>713</v>
      </c>
      <c r="N345" s="26" t="s">
        <v>71</v>
      </c>
      <c r="O345" s="26" t="s">
        <v>72</v>
      </c>
      <c r="P345" s="26">
        <v>45</v>
      </c>
      <c r="Q345" s="27">
        <v>20060</v>
      </c>
      <c r="R345" s="26">
        <v>0</v>
      </c>
      <c r="S345" s="26" t="s">
        <v>914</v>
      </c>
      <c r="T345" s="26" t="s">
        <v>80</v>
      </c>
      <c r="U345" s="26" t="str">
        <f t="shared" si="128"/>
        <v>PR</v>
      </c>
      <c r="V345" s="26">
        <f t="shared" si="127"/>
        <v>30</v>
      </c>
      <c r="W345" s="26" t="s">
        <v>90</v>
      </c>
      <c r="X345" s="26">
        <v>8</v>
      </c>
      <c r="Y345" s="26" t="s">
        <v>74</v>
      </c>
      <c r="Z345" s="26" t="s">
        <v>75</v>
      </c>
      <c r="AA345" s="28">
        <f t="shared" si="125"/>
        <v>0.27</v>
      </c>
      <c r="AB345" s="28">
        <f t="shared" si="130"/>
        <v>2.6579999999999999</v>
      </c>
      <c r="AC345" s="28">
        <f t="shared" si="131"/>
        <v>2.726</v>
      </c>
      <c r="AD345" s="28">
        <f t="shared" si="109"/>
        <v>0</v>
      </c>
      <c r="AE345" s="28">
        <f t="shared" si="132"/>
        <v>0.20200000000000001</v>
      </c>
      <c r="AF345" s="28">
        <f t="shared" si="114"/>
        <v>2213.6799999999998</v>
      </c>
      <c r="AG345" s="28">
        <f t="shared" si="121"/>
        <v>0.47</v>
      </c>
      <c r="AH345" s="28">
        <v>211</v>
      </c>
      <c r="AI345" s="28">
        <f t="shared" si="115"/>
        <v>0</v>
      </c>
      <c r="AJ345" s="28">
        <f t="shared" si="129"/>
        <v>2003.124</v>
      </c>
      <c r="AK345" s="30">
        <f>'Report Inputs'!$F$2</f>
        <v>55.9</v>
      </c>
      <c r="AL345" s="28">
        <f>'Report Inputs'!$E$2</f>
        <v>1080</v>
      </c>
      <c r="AM345" s="28">
        <f t="shared" si="133"/>
        <v>71.905000000000001</v>
      </c>
      <c r="AN345" s="26" t="s">
        <v>744</v>
      </c>
      <c r="AS345" s="26" t="s">
        <v>76</v>
      </c>
      <c r="AT345" s="26" t="s">
        <v>77</v>
      </c>
      <c r="AU345" s="26" t="s">
        <v>78</v>
      </c>
      <c r="AV345" s="31">
        <f t="shared" ca="1" si="126"/>
        <v>42376.365371064814</v>
      </c>
    </row>
    <row r="346" spans="1:48">
      <c r="A346" s="26">
        <v>7</v>
      </c>
      <c r="B346" s="26">
        <f>MONTH('Report Inputs'!$B$2)</f>
        <v>11</v>
      </c>
      <c r="C346" s="26">
        <f>YEAR('Report Inputs'!$B$2)</f>
        <v>2015</v>
      </c>
      <c r="D346" s="26">
        <v>66571</v>
      </c>
      <c r="F346" s="26" t="s">
        <v>65</v>
      </c>
      <c r="G346" s="26" t="s">
        <v>66</v>
      </c>
      <c r="H346" s="26" t="s">
        <v>67</v>
      </c>
      <c r="I346" s="26" t="s">
        <v>68</v>
      </c>
      <c r="J346" s="26" t="s">
        <v>69</v>
      </c>
      <c r="K346" s="26">
        <v>713</v>
      </c>
      <c r="L346" s="26" t="s">
        <v>70</v>
      </c>
      <c r="M346" s="26">
        <v>713</v>
      </c>
      <c r="N346" s="26" t="s">
        <v>71</v>
      </c>
      <c r="O346" s="26" t="s">
        <v>72</v>
      </c>
      <c r="P346" s="26">
        <v>45</v>
      </c>
      <c r="Q346" s="27">
        <v>20062</v>
      </c>
      <c r="R346" s="26">
        <v>0</v>
      </c>
      <c r="S346" s="26" t="s">
        <v>910</v>
      </c>
      <c r="T346" s="26" t="s">
        <v>80</v>
      </c>
      <c r="U346" s="26" t="str">
        <f t="shared" si="128"/>
        <v>PR</v>
      </c>
      <c r="V346" s="26">
        <f t="shared" si="127"/>
        <v>30</v>
      </c>
      <c r="W346" s="26" t="s">
        <v>90</v>
      </c>
      <c r="X346" s="26">
        <v>8</v>
      </c>
      <c r="Y346" s="26" t="s">
        <v>74</v>
      </c>
      <c r="Z346" s="26" t="s">
        <v>75</v>
      </c>
      <c r="AA346" s="28">
        <f t="shared" si="125"/>
        <v>0.30299999999999999</v>
      </c>
      <c r="AB346" s="28">
        <f t="shared" si="130"/>
        <v>2.915</v>
      </c>
      <c r="AC346" s="28">
        <f t="shared" si="131"/>
        <v>2.996</v>
      </c>
      <c r="AD346" s="28">
        <f t="shared" si="109"/>
        <v>0</v>
      </c>
      <c r="AE346" s="28">
        <f t="shared" si="132"/>
        <v>0.222</v>
      </c>
      <c r="AF346" s="28">
        <f t="shared" si="114"/>
        <v>2397.9699999999998</v>
      </c>
      <c r="AG346" s="28">
        <f t="shared" si="121"/>
        <v>0.51</v>
      </c>
      <c r="AH346" s="28">
        <f t="shared" si="122"/>
        <v>201.102</v>
      </c>
      <c r="AI346" s="28">
        <f t="shared" si="115"/>
        <v>0</v>
      </c>
      <c r="AJ346" s="28">
        <f t="shared" si="129"/>
        <v>2196.3580000000002</v>
      </c>
      <c r="AK346" s="30">
        <f>'Report Inputs'!$F$2</f>
        <v>55.9</v>
      </c>
      <c r="AL346" s="28">
        <f>'Report Inputs'!$E$2</f>
        <v>1080</v>
      </c>
      <c r="AM346" s="28">
        <f t="shared" si="133"/>
        <v>78.841999999999999</v>
      </c>
      <c r="AN346" s="26" t="s">
        <v>744</v>
      </c>
      <c r="AS346" s="26" t="s">
        <v>76</v>
      </c>
      <c r="AT346" s="26" t="s">
        <v>77</v>
      </c>
      <c r="AU346" s="26" t="s">
        <v>78</v>
      </c>
      <c r="AV346" s="31">
        <f t="shared" ca="1" si="126"/>
        <v>42376.365371064814</v>
      </c>
    </row>
    <row r="347" spans="1:48">
      <c r="A347" s="26">
        <v>7</v>
      </c>
      <c r="B347" s="26">
        <f>MONTH('Report Inputs'!$B$2)</f>
        <v>11</v>
      </c>
      <c r="C347" s="26">
        <f>YEAR('Report Inputs'!$B$2)</f>
        <v>2015</v>
      </c>
      <c r="D347" s="26">
        <v>66571</v>
      </c>
      <c r="F347" s="26" t="s">
        <v>65</v>
      </c>
      <c r="G347" s="26" t="s">
        <v>66</v>
      </c>
      <c r="H347" s="26" t="s">
        <v>67</v>
      </c>
      <c r="I347" s="26" t="s">
        <v>68</v>
      </c>
      <c r="J347" s="26" t="s">
        <v>69</v>
      </c>
      <c r="K347" s="26">
        <v>713</v>
      </c>
      <c r="L347" s="26" t="s">
        <v>70</v>
      </c>
      <c r="M347" s="26">
        <v>713</v>
      </c>
      <c r="N347" s="26" t="s">
        <v>71</v>
      </c>
      <c r="O347" s="26" t="s">
        <v>72</v>
      </c>
      <c r="P347" s="26">
        <v>45</v>
      </c>
      <c r="Q347" s="27">
        <v>20063</v>
      </c>
      <c r="R347" s="26">
        <v>0</v>
      </c>
      <c r="S347" s="26" t="s">
        <v>913</v>
      </c>
      <c r="T347" s="26" t="s">
        <v>80</v>
      </c>
      <c r="U347" s="26" t="str">
        <f t="shared" si="128"/>
        <v>PR</v>
      </c>
      <c r="V347" s="26">
        <f t="shared" si="127"/>
        <v>30</v>
      </c>
      <c r="W347" s="26" t="s">
        <v>90</v>
      </c>
      <c r="X347" s="26">
        <v>8</v>
      </c>
      <c r="Y347" s="26" t="s">
        <v>74</v>
      </c>
      <c r="Z347" s="26" t="s">
        <v>75</v>
      </c>
      <c r="AA347" s="28">
        <f t="shared" si="125"/>
        <v>0.45100000000000001</v>
      </c>
      <c r="AB347" s="28">
        <f t="shared" si="130"/>
        <v>4.3949999999999996</v>
      </c>
      <c r="AC347" s="28">
        <f t="shared" si="131"/>
        <v>4.5129999999999999</v>
      </c>
      <c r="AD347" s="28">
        <f t="shared" ref="AD347:AD410" si="134">ROUND(AC347,0)+ROUND(AE347,0)-ROUND(AA347,0)-ROUND(AB347,0)</f>
        <v>1</v>
      </c>
      <c r="AE347" s="28">
        <f t="shared" si="132"/>
        <v>0.33300000000000002</v>
      </c>
      <c r="AF347" s="28">
        <f t="shared" si="114"/>
        <v>3563.53</v>
      </c>
      <c r="AG347" s="28">
        <f t="shared" si="121"/>
        <v>0.78</v>
      </c>
      <c r="AH347" s="28">
        <v>250</v>
      </c>
      <c r="AI347" s="28">
        <f t="shared" si="115"/>
        <v>0</v>
      </c>
      <c r="AJ347" s="28">
        <f t="shared" si="129"/>
        <v>3313.2860000000001</v>
      </c>
      <c r="AK347" s="30">
        <f>'Report Inputs'!$F$2</f>
        <v>55.9</v>
      </c>
      <c r="AL347" s="28">
        <f>'Report Inputs'!$E$2</f>
        <v>1080</v>
      </c>
      <c r="AM347" s="28">
        <f t="shared" si="133"/>
        <v>118.935</v>
      </c>
      <c r="AN347" s="26" t="s">
        <v>744</v>
      </c>
      <c r="AS347" s="26" t="s">
        <v>76</v>
      </c>
      <c r="AT347" s="26" t="s">
        <v>77</v>
      </c>
      <c r="AU347" s="26" t="s">
        <v>78</v>
      </c>
      <c r="AV347" s="31">
        <f t="shared" ca="1" si="126"/>
        <v>42376.365371064814</v>
      </c>
    </row>
    <row r="348" spans="1:48">
      <c r="A348" s="26">
        <v>7</v>
      </c>
      <c r="B348" s="26">
        <f>MONTH('Report Inputs'!$B$2)</f>
        <v>11</v>
      </c>
      <c r="C348" s="26">
        <f>YEAR('Report Inputs'!$B$2)</f>
        <v>2015</v>
      </c>
      <c r="D348" s="26">
        <v>66571</v>
      </c>
      <c r="F348" s="26" t="s">
        <v>65</v>
      </c>
      <c r="G348" s="26" t="s">
        <v>66</v>
      </c>
      <c r="H348" s="26" t="s">
        <v>67</v>
      </c>
      <c r="I348" s="26" t="s">
        <v>68</v>
      </c>
      <c r="J348" s="26" t="s">
        <v>69</v>
      </c>
      <c r="K348" s="26">
        <v>713</v>
      </c>
      <c r="L348" s="26" t="s">
        <v>70</v>
      </c>
      <c r="M348" s="26">
        <v>713</v>
      </c>
      <c r="N348" s="26" t="s">
        <v>71</v>
      </c>
      <c r="O348" s="26" t="s">
        <v>72</v>
      </c>
      <c r="P348" s="26">
        <v>45</v>
      </c>
      <c r="Q348" s="27">
        <v>20065</v>
      </c>
      <c r="R348" s="26">
        <v>0</v>
      </c>
      <c r="S348" s="26" t="s">
        <v>917</v>
      </c>
      <c r="T348" s="26" t="s">
        <v>80</v>
      </c>
      <c r="U348" s="26" t="str">
        <f t="shared" si="128"/>
        <v>PR</v>
      </c>
      <c r="V348" s="26">
        <f t="shared" si="127"/>
        <v>30</v>
      </c>
      <c r="W348" s="26" t="s">
        <v>90</v>
      </c>
      <c r="X348" s="26">
        <v>8</v>
      </c>
      <c r="Y348" s="26" t="s">
        <v>74</v>
      </c>
      <c r="Z348" s="26" t="s">
        <v>75</v>
      </c>
      <c r="AA348" s="28">
        <f t="shared" si="125"/>
        <v>0.59099999999999997</v>
      </c>
      <c r="AB348" s="28">
        <f t="shared" si="130"/>
        <v>5.43</v>
      </c>
      <c r="AC348" s="28">
        <f t="shared" si="131"/>
        <v>5.6070000000000002</v>
      </c>
      <c r="AD348" s="28">
        <f t="shared" si="134"/>
        <v>0</v>
      </c>
      <c r="AE348" s="28">
        <f t="shared" si="132"/>
        <v>0.41399999999999998</v>
      </c>
      <c r="AF348" s="28">
        <f t="shared" si="114"/>
        <v>4379.1099999999997</v>
      </c>
      <c r="AG348" s="28">
        <f t="shared" si="121"/>
        <v>0.96</v>
      </c>
      <c r="AH348" s="28">
        <f t="shared" si="122"/>
        <v>284.85000000000002</v>
      </c>
      <c r="AI348" s="28">
        <f t="shared" si="115"/>
        <v>0</v>
      </c>
      <c r="AJ348" s="28">
        <f t="shared" si="129"/>
        <v>4093.3</v>
      </c>
      <c r="AK348" s="30">
        <f>'Report Inputs'!$F$2</f>
        <v>55.9</v>
      </c>
      <c r="AL348" s="28">
        <f>'Report Inputs'!$E$2</f>
        <v>1080</v>
      </c>
      <c r="AM348" s="28">
        <f t="shared" si="133"/>
        <v>146.935</v>
      </c>
      <c r="AN348" s="26" t="s">
        <v>744</v>
      </c>
      <c r="AS348" s="26" t="s">
        <v>76</v>
      </c>
      <c r="AT348" s="26" t="s">
        <v>77</v>
      </c>
      <c r="AU348" s="26" t="s">
        <v>78</v>
      </c>
      <c r="AV348" s="31">
        <f t="shared" ca="1" si="126"/>
        <v>42376.365371064814</v>
      </c>
    </row>
    <row r="349" spans="1:48">
      <c r="A349" s="26">
        <v>7</v>
      </c>
      <c r="B349" s="26">
        <f>MONTH('Report Inputs'!$B$2)</f>
        <v>11</v>
      </c>
      <c r="C349" s="26">
        <f>YEAR('Report Inputs'!$B$2)</f>
        <v>2015</v>
      </c>
      <c r="D349" s="26">
        <v>66571</v>
      </c>
      <c r="F349" s="26" t="s">
        <v>65</v>
      </c>
      <c r="G349" s="26" t="s">
        <v>66</v>
      </c>
      <c r="H349" s="26" t="s">
        <v>67</v>
      </c>
      <c r="I349" s="26" t="s">
        <v>68</v>
      </c>
      <c r="J349" s="26" t="s">
        <v>69</v>
      </c>
      <c r="K349" s="26">
        <v>713</v>
      </c>
      <c r="L349" s="26" t="s">
        <v>70</v>
      </c>
      <c r="M349" s="26">
        <v>713</v>
      </c>
      <c r="N349" s="26" t="s">
        <v>71</v>
      </c>
      <c r="O349" s="26" t="s">
        <v>72</v>
      </c>
      <c r="P349" s="26">
        <v>45</v>
      </c>
      <c r="Q349" s="27">
        <v>20067</v>
      </c>
      <c r="R349" s="26">
        <v>0</v>
      </c>
      <c r="S349" s="26" t="s">
        <v>922</v>
      </c>
      <c r="T349" s="26" t="s">
        <v>80</v>
      </c>
      <c r="U349" s="26" t="str">
        <f t="shared" si="128"/>
        <v>PR</v>
      </c>
      <c r="V349" s="26">
        <f t="shared" si="127"/>
        <v>30</v>
      </c>
      <c r="W349" s="26" t="s">
        <v>90</v>
      </c>
      <c r="X349" s="26">
        <v>8</v>
      </c>
      <c r="Y349" s="26" t="s">
        <v>74</v>
      </c>
      <c r="Z349" s="26" t="s">
        <v>75</v>
      </c>
      <c r="AA349" s="28">
        <f t="shared" ref="AA349:AA380" si="135">IF(ISNA(VLOOKUP($Q349,data,5,FALSE)),0,VLOOKUP($Q349,data,5,FALSE))</f>
        <v>0.28699999999999998</v>
      </c>
      <c r="AB349" s="28">
        <f t="shared" si="130"/>
        <v>2.7709999999999999</v>
      </c>
      <c r="AC349" s="28">
        <f t="shared" si="131"/>
        <v>2.8479999999999999</v>
      </c>
      <c r="AD349" s="28">
        <f t="shared" si="134"/>
        <v>0</v>
      </c>
      <c r="AE349" s="28">
        <f t="shared" si="132"/>
        <v>0.21</v>
      </c>
      <c r="AF349" s="28">
        <f t="shared" si="114"/>
        <v>2286.25</v>
      </c>
      <c r="AG349" s="28">
        <f t="shared" si="121"/>
        <v>0.49</v>
      </c>
      <c r="AH349" s="28">
        <f t="shared" si="122"/>
        <v>196.255</v>
      </c>
      <c r="AI349" s="28">
        <f t="shared" si="115"/>
        <v>0</v>
      </c>
      <c r="AJ349" s="28">
        <f t="shared" si="129"/>
        <v>2089.5050000000001</v>
      </c>
      <c r="AK349" s="30">
        <f>'Report Inputs'!$F$2</f>
        <v>55.9</v>
      </c>
      <c r="AL349" s="28">
        <f>'Report Inputs'!$E$2</f>
        <v>1080</v>
      </c>
      <c r="AM349" s="28">
        <f t="shared" si="133"/>
        <v>75.006</v>
      </c>
      <c r="AN349" s="26" t="s">
        <v>744</v>
      </c>
      <c r="AS349" s="26" t="s">
        <v>76</v>
      </c>
      <c r="AT349" s="26" t="s">
        <v>77</v>
      </c>
      <c r="AU349" s="26" t="s">
        <v>78</v>
      </c>
      <c r="AV349" s="31">
        <f t="shared" ca="1" si="126"/>
        <v>42376.365371064814</v>
      </c>
    </row>
    <row r="350" spans="1:48">
      <c r="A350" s="26">
        <v>7</v>
      </c>
      <c r="B350" s="26">
        <f>MONTH('Report Inputs'!$B$2)</f>
        <v>11</v>
      </c>
      <c r="C350" s="26">
        <f>YEAR('Report Inputs'!$B$2)</f>
        <v>2015</v>
      </c>
      <c r="D350" s="26">
        <v>66571</v>
      </c>
      <c r="F350" s="26" t="s">
        <v>65</v>
      </c>
      <c r="G350" s="26" t="s">
        <v>66</v>
      </c>
      <c r="H350" s="26" t="s">
        <v>67</v>
      </c>
      <c r="I350" s="26" t="s">
        <v>68</v>
      </c>
      <c r="J350" s="26" t="s">
        <v>69</v>
      </c>
      <c r="K350" s="26">
        <v>713</v>
      </c>
      <c r="L350" s="26" t="s">
        <v>70</v>
      </c>
      <c r="M350" s="26">
        <v>713</v>
      </c>
      <c r="N350" s="26" t="s">
        <v>71</v>
      </c>
      <c r="O350" s="26" t="s">
        <v>72</v>
      </c>
      <c r="P350" s="26">
        <v>45</v>
      </c>
      <c r="Q350" s="27">
        <v>20068</v>
      </c>
      <c r="R350" s="26">
        <v>0</v>
      </c>
      <c r="S350" s="26" t="s">
        <v>858</v>
      </c>
      <c r="T350" s="26" t="s">
        <v>80</v>
      </c>
      <c r="U350" s="26" t="str">
        <f t="shared" si="128"/>
        <v>PR</v>
      </c>
      <c r="V350" s="26">
        <f t="shared" si="127"/>
        <v>30</v>
      </c>
      <c r="W350" s="26" t="s">
        <v>90</v>
      </c>
      <c r="X350" s="26">
        <v>9</v>
      </c>
      <c r="Y350" s="26" t="s">
        <v>74</v>
      </c>
      <c r="Z350" s="26" t="s">
        <v>75</v>
      </c>
      <c r="AA350" s="28">
        <f t="shared" si="135"/>
        <v>1.1839999999999999</v>
      </c>
      <c r="AB350" s="28">
        <f t="shared" si="130"/>
        <v>1.74</v>
      </c>
      <c r="AC350" s="28">
        <f t="shared" si="131"/>
        <v>2.5049999999999999</v>
      </c>
      <c r="AD350" s="28">
        <f t="shared" si="134"/>
        <v>0</v>
      </c>
      <c r="AE350" s="28">
        <f t="shared" si="132"/>
        <v>0.41899999999999998</v>
      </c>
      <c r="AF350" s="28">
        <f t="shared" si="114"/>
        <v>7239.29</v>
      </c>
      <c r="AG350" s="28">
        <f t="shared" si="121"/>
        <v>0.12</v>
      </c>
      <c r="AH350" s="28">
        <f t="shared" si="122"/>
        <v>517.03300000000002</v>
      </c>
      <c r="AI350" s="28">
        <f t="shared" si="115"/>
        <v>0</v>
      </c>
      <c r="AJ350" s="28">
        <f t="shared" si="129"/>
        <v>6722.1369999999997</v>
      </c>
      <c r="AK350" s="30">
        <f>'Report Inputs'!$F$2</f>
        <v>55.9</v>
      </c>
      <c r="AL350" s="28">
        <f>'Report Inputs'!$E$2</f>
        <v>1080</v>
      </c>
      <c r="AM350" s="28">
        <f t="shared" si="133"/>
        <v>331.89600000000002</v>
      </c>
      <c r="AN350" s="26" t="s">
        <v>744</v>
      </c>
      <c r="AS350" s="26" t="s">
        <v>76</v>
      </c>
      <c r="AT350" s="26" t="s">
        <v>77</v>
      </c>
      <c r="AU350" s="26" t="s">
        <v>78</v>
      </c>
      <c r="AV350" s="31">
        <f t="shared" ca="1" si="126"/>
        <v>42376.365371064814</v>
      </c>
    </row>
    <row r="351" spans="1:48">
      <c r="A351" s="26">
        <v>7</v>
      </c>
      <c r="B351" s="26">
        <f>MONTH('Report Inputs'!$B$2)</f>
        <v>11</v>
      </c>
      <c r="C351" s="26">
        <f>YEAR('Report Inputs'!$B$2)</f>
        <v>2015</v>
      </c>
      <c r="D351" s="26">
        <v>66571</v>
      </c>
      <c r="F351" s="26" t="s">
        <v>65</v>
      </c>
      <c r="G351" s="26" t="s">
        <v>66</v>
      </c>
      <c r="H351" s="26" t="s">
        <v>67</v>
      </c>
      <c r="I351" s="26" t="s">
        <v>68</v>
      </c>
      <c r="J351" s="26" t="s">
        <v>69</v>
      </c>
      <c r="K351" s="26">
        <v>713</v>
      </c>
      <c r="L351" s="26" t="s">
        <v>70</v>
      </c>
      <c r="M351" s="26">
        <v>713</v>
      </c>
      <c r="N351" s="26" t="s">
        <v>71</v>
      </c>
      <c r="O351" s="26" t="s">
        <v>72</v>
      </c>
      <c r="P351" s="26">
        <v>45</v>
      </c>
      <c r="Q351" s="27">
        <v>20069</v>
      </c>
      <c r="R351" s="26">
        <v>0</v>
      </c>
      <c r="S351" s="26" t="s">
        <v>918</v>
      </c>
      <c r="T351" s="26" t="s">
        <v>80</v>
      </c>
      <c r="U351" s="26" t="str">
        <f t="shared" si="128"/>
        <v>PR</v>
      </c>
      <c r="V351" s="26">
        <f t="shared" si="127"/>
        <v>30</v>
      </c>
      <c r="W351" s="26" t="s">
        <v>90</v>
      </c>
      <c r="X351" s="26">
        <v>8</v>
      </c>
      <c r="Y351" s="26" t="s">
        <v>74</v>
      </c>
      <c r="Z351" s="26" t="s">
        <v>75</v>
      </c>
      <c r="AA351" s="28">
        <f t="shared" si="135"/>
        <v>0.32100000000000001</v>
      </c>
      <c r="AB351" s="28">
        <f t="shared" si="130"/>
        <v>3.5219999999999998</v>
      </c>
      <c r="AC351" s="28">
        <f t="shared" si="131"/>
        <v>3.58</v>
      </c>
      <c r="AD351" s="28">
        <f t="shared" si="134"/>
        <v>0</v>
      </c>
      <c r="AE351" s="28">
        <f t="shared" si="132"/>
        <v>0.26300000000000001</v>
      </c>
      <c r="AF351" s="28">
        <f t="shared" si="114"/>
        <v>2875.37</v>
      </c>
      <c r="AG351" s="28">
        <f t="shared" si="121"/>
        <v>0.62</v>
      </c>
      <c r="AH351" s="28">
        <v>219</v>
      </c>
      <c r="AI351" s="28">
        <f t="shared" si="115"/>
        <v>0</v>
      </c>
      <c r="AJ351" s="28">
        <f t="shared" si="129"/>
        <v>2655.1439999999998</v>
      </c>
      <c r="AK351" s="30">
        <f>'Report Inputs'!$F$2</f>
        <v>55.9</v>
      </c>
      <c r="AL351" s="28">
        <f>'Report Inputs'!$E$2</f>
        <v>1080</v>
      </c>
      <c r="AM351" s="28">
        <f t="shared" si="133"/>
        <v>95.311000000000007</v>
      </c>
      <c r="AN351" s="26" t="s">
        <v>744</v>
      </c>
      <c r="AS351" s="26" t="s">
        <v>76</v>
      </c>
      <c r="AT351" s="26" t="s">
        <v>77</v>
      </c>
      <c r="AU351" s="26" t="s">
        <v>78</v>
      </c>
      <c r="AV351" s="31">
        <f t="shared" ca="1" si="126"/>
        <v>42376.365371064814</v>
      </c>
    </row>
    <row r="352" spans="1:48">
      <c r="A352" s="26">
        <v>7</v>
      </c>
      <c r="B352" s="26">
        <f>MONTH('Report Inputs'!$B$2)</f>
        <v>11</v>
      </c>
      <c r="C352" s="26">
        <f>YEAR('Report Inputs'!$B$2)</f>
        <v>2015</v>
      </c>
      <c r="D352" s="26">
        <v>66571</v>
      </c>
      <c r="F352" s="26" t="s">
        <v>65</v>
      </c>
      <c r="G352" s="26" t="s">
        <v>66</v>
      </c>
      <c r="H352" s="26" t="s">
        <v>67</v>
      </c>
      <c r="I352" s="26" t="s">
        <v>68</v>
      </c>
      <c r="J352" s="26" t="s">
        <v>69</v>
      </c>
      <c r="K352" s="26">
        <v>713</v>
      </c>
      <c r="L352" s="26" t="s">
        <v>70</v>
      </c>
      <c r="M352" s="26">
        <v>713</v>
      </c>
      <c r="N352" s="26" t="s">
        <v>71</v>
      </c>
      <c r="O352" s="26" t="s">
        <v>72</v>
      </c>
      <c r="P352" s="26">
        <v>45</v>
      </c>
      <c r="Q352" s="27">
        <v>20070</v>
      </c>
      <c r="R352" s="26">
        <v>0</v>
      </c>
      <c r="S352" s="26" t="s">
        <v>876</v>
      </c>
      <c r="T352" s="26" t="s">
        <v>80</v>
      </c>
      <c r="U352" s="26" t="str">
        <f t="shared" si="128"/>
        <v>PR</v>
      </c>
      <c r="V352" s="26">
        <f t="shared" si="127"/>
        <v>30</v>
      </c>
      <c r="W352" s="26" t="s">
        <v>90</v>
      </c>
      <c r="X352" s="26">
        <v>9</v>
      </c>
      <c r="Y352" s="26" t="s">
        <v>74</v>
      </c>
      <c r="Z352" s="26" t="s">
        <v>75</v>
      </c>
      <c r="AA352" s="28">
        <f t="shared" si="135"/>
        <v>0.125</v>
      </c>
      <c r="AB352" s="28">
        <f t="shared" si="130"/>
        <v>0.16900000000000001</v>
      </c>
      <c r="AC352" s="28">
        <f t="shared" si="131"/>
        <v>0.252</v>
      </c>
      <c r="AD352" s="28">
        <f t="shared" si="134"/>
        <v>0</v>
      </c>
      <c r="AE352" s="28">
        <f t="shared" si="132"/>
        <v>4.2000000000000003E-2</v>
      </c>
      <c r="AF352" s="28">
        <f t="shared" si="114"/>
        <v>895.38</v>
      </c>
      <c r="AG352" s="28">
        <f t="shared" si="121"/>
        <v>0.01</v>
      </c>
      <c r="AH352" s="28">
        <v>241</v>
      </c>
      <c r="AI352" s="28">
        <f t="shared" si="115"/>
        <v>0</v>
      </c>
      <c r="AJ352" s="28">
        <f t="shared" si="129"/>
        <v>653.64599999999996</v>
      </c>
      <c r="AL352" s="28">
        <f>'Report Inputs'!$E$2</f>
        <v>1080</v>
      </c>
      <c r="AM352" s="28">
        <f t="shared" si="133"/>
        <v>32.273000000000003</v>
      </c>
      <c r="AN352" s="26" t="s">
        <v>744</v>
      </c>
      <c r="AS352" s="26" t="s">
        <v>76</v>
      </c>
      <c r="AT352" s="26" t="s">
        <v>77</v>
      </c>
      <c r="AU352" s="26" t="s">
        <v>78</v>
      </c>
      <c r="AV352" s="31">
        <f t="shared" ca="1" si="126"/>
        <v>42376.365371064814</v>
      </c>
    </row>
    <row r="353" spans="1:48">
      <c r="A353" s="26">
        <v>7</v>
      </c>
      <c r="B353" s="26">
        <f>MONTH('Report Inputs'!$B$2)</f>
        <v>11</v>
      </c>
      <c r="C353" s="26">
        <f>YEAR('Report Inputs'!$B$2)</f>
        <v>2015</v>
      </c>
      <c r="D353" s="26">
        <v>66571</v>
      </c>
      <c r="F353" s="26" t="s">
        <v>65</v>
      </c>
      <c r="G353" s="26" t="s">
        <v>66</v>
      </c>
      <c r="H353" s="26" t="s">
        <v>67</v>
      </c>
      <c r="I353" s="26" t="s">
        <v>68</v>
      </c>
      <c r="J353" s="26" t="s">
        <v>69</v>
      </c>
      <c r="K353" s="26">
        <v>713</v>
      </c>
      <c r="L353" s="26" t="s">
        <v>70</v>
      </c>
      <c r="M353" s="26">
        <v>713</v>
      </c>
      <c r="N353" s="26" t="s">
        <v>71</v>
      </c>
      <c r="O353" s="26" t="s">
        <v>72</v>
      </c>
      <c r="P353" s="26">
        <v>45</v>
      </c>
      <c r="Q353" s="27">
        <v>20071</v>
      </c>
      <c r="R353" s="26">
        <v>0</v>
      </c>
      <c r="S353" s="26" t="s">
        <v>923</v>
      </c>
      <c r="T353" s="26" t="s">
        <v>80</v>
      </c>
      <c r="U353" s="26" t="str">
        <f t="shared" si="128"/>
        <v>PR</v>
      </c>
      <c r="V353" s="26">
        <f t="shared" si="127"/>
        <v>30</v>
      </c>
      <c r="W353" s="26" t="s">
        <v>90</v>
      </c>
      <c r="X353" s="26">
        <v>8</v>
      </c>
      <c r="Y353" s="26" t="s">
        <v>74</v>
      </c>
      <c r="Z353" s="26" t="s">
        <v>75</v>
      </c>
      <c r="AA353" s="28">
        <f t="shared" si="135"/>
        <v>0.60099999999999998</v>
      </c>
      <c r="AB353" s="28">
        <f t="shared" si="130"/>
        <v>5.7690000000000001</v>
      </c>
      <c r="AC353" s="28">
        <f t="shared" si="131"/>
        <v>5.9329999999999998</v>
      </c>
      <c r="AD353" s="28">
        <f t="shared" si="134"/>
        <v>-1</v>
      </c>
      <c r="AE353" s="28">
        <f t="shared" si="132"/>
        <v>0.437</v>
      </c>
      <c r="AF353" s="28">
        <f t="shared" si="114"/>
        <v>4645.67</v>
      </c>
      <c r="AG353" s="28">
        <f t="shared" si="121"/>
        <v>1.02</v>
      </c>
      <c r="AH353" s="28">
        <v>297</v>
      </c>
      <c r="AI353" s="28">
        <f t="shared" si="115"/>
        <v>0</v>
      </c>
      <c r="AJ353" s="28">
        <f t="shared" si="129"/>
        <v>4348.2340000000004</v>
      </c>
      <c r="AK353" s="30">
        <f>'Report Inputs'!$F$2</f>
        <v>55.9</v>
      </c>
      <c r="AL353" s="28">
        <f>'Report Inputs'!$E$2</f>
        <v>1080</v>
      </c>
      <c r="AM353" s="28">
        <f t="shared" si="133"/>
        <v>156.08699999999999</v>
      </c>
      <c r="AN353" s="26" t="s">
        <v>744</v>
      </c>
      <c r="AS353" s="26" t="s">
        <v>76</v>
      </c>
      <c r="AT353" s="26" t="s">
        <v>77</v>
      </c>
      <c r="AU353" s="26" t="s">
        <v>78</v>
      </c>
      <c r="AV353" s="31">
        <f t="shared" ca="1" si="126"/>
        <v>42376.365371064814</v>
      </c>
    </row>
    <row r="354" spans="1:48">
      <c r="A354" s="26">
        <v>7</v>
      </c>
      <c r="B354" s="26">
        <f>MONTH('Report Inputs'!$B$2)</f>
        <v>11</v>
      </c>
      <c r="C354" s="26">
        <f>YEAR('Report Inputs'!$B$2)</f>
        <v>2015</v>
      </c>
      <c r="D354" s="26">
        <v>66571</v>
      </c>
      <c r="F354" s="26" t="s">
        <v>65</v>
      </c>
      <c r="G354" s="26" t="s">
        <v>66</v>
      </c>
      <c r="H354" s="26" t="s">
        <v>67</v>
      </c>
      <c r="I354" s="26" t="s">
        <v>68</v>
      </c>
      <c r="J354" s="26" t="s">
        <v>69</v>
      </c>
      <c r="K354" s="26">
        <v>713</v>
      </c>
      <c r="L354" s="26" t="s">
        <v>70</v>
      </c>
      <c r="M354" s="26">
        <v>713</v>
      </c>
      <c r="N354" s="26" t="s">
        <v>71</v>
      </c>
      <c r="O354" s="26" t="s">
        <v>72</v>
      </c>
      <c r="P354" s="26">
        <v>45</v>
      </c>
      <c r="Q354" s="27">
        <v>20072</v>
      </c>
      <c r="R354" s="26">
        <v>0</v>
      </c>
      <c r="S354" s="26" t="s">
        <v>869</v>
      </c>
      <c r="T354" s="26" t="s">
        <v>80</v>
      </c>
      <c r="U354" s="26" t="str">
        <f t="shared" si="128"/>
        <v>PR</v>
      </c>
      <c r="V354" s="26">
        <f t="shared" si="127"/>
        <v>30</v>
      </c>
      <c r="W354" s="26" t="s">
        <v>90</v>
      </c>
      <c r="X354" s="26">
        <v>9</v>
      </c>
      <c r="Y354" s="26" t="s">
        <v>74</v>
      </c>
      <c r="Z354" s="26" t="s">
        <v>75</v>
      </c>
      <c r="AA354" s="28">
        <f t="shared" si="135"/>
        <v>0.68300000000000005</v>
      </c>
      <c r="AB354" s="28">
        <f t="shared" si="130"/>
        <v>0.94599999999999995</v>
      </c>
      <c r="AC354" s="28">
        <f t="shared" si="131"/>
        <v>1.3979999999999999</v>
      </c>
      <c r="AD354" s="28">
        <f t="shared" si="134"/>
        <v>-1</v>
      </c>
      <c r="AE354" s="28">
        <f t="shared" si="132"/>
        <v>0.23100000000000001</v>
      </c>
      <c r="AF354" s="28">
        <f t="shared" si="114"/>
        <v>4033.93</v>
      </c>
      <c r="AG354" s="28">
        <f t="shared" si="121"/>
        <v>0.06</v>
      </c>
      <c r="AH354" s="28">
        <f t="shared" si="122"/>
        <v>377.92899999999997</v>
      </c>
      <c r="AI354" s="28">
        <f t="shared" si="115"/>
        <v>0</v>
      </c>
      <c r="AJ354" s="28">
        <f t="shared" si="129"/>
        <v>3655.9409999999998</v>
      </c>
      <c r="AK354" s="30">
        <f>'Report Inputs'!$F$2</f>
        <v>55.9</v>
      </c>
      <c r="AL354" s="28">
        <f>'Report Inputs'!$E$2</f>
        <v>1080</v>
      </c>
      <c r="AM354" s="28">
        <f t="shared" si="133"/>
        <v>180.50700000000001</v>
      </c>
      <c r="AN354" s="26" t="s">
        <v>744</v>
      </c>
      <c r="AS354" s="26" t="s">
        <v>76</v>
      </c>
      <c r="AT354" s="26" t="s">
        <v>77</v>
      </c>
      <c r="AU354" s="26" t="s">
        <v>78</v>
      </c>
      <c r="AV354" s="31">
        <f t="shared" ca="1" si="126"/>
        <v>42376.365371064814</v>
      </c>
    </row>
    <row r="355" spans="1:48">
      <c r="A355" s="26">
        <v>7</v>
      </c>
      <c r="B355" s="26">
        <f>MONTH('Report Inputs'!$B$2)</f>
        <v>11</v>
      </c>
      <c r="C355" s="26">
        <f>YEAR('Report Inputs'!$B$2)</f>
        <v>2015</v>
      </c>
      <c r="D355" s="26">
        <v>66571</v>
      </c>
      <c r="F355" s="26" t="s">
        <v>65</v>
      </c>
      <c r="G355" s="26" t="s">
        <v>66</v>
      </c>
      <c r="H355" s="26" t="s">
        <v>67</v>
      </c>
      <c r="I355" s="26" t="s">
        <v>68</v>
      </c>
      <c r="J355" s="26" t="s">
        <v>69</v>
      </c>
      <c r="K355" s="26">
        <v>713</v>
      </c>
      <c r="L355" s="26" t="s">
        <v>70</v>
      </c>
      <c r="M355" s="26">
        <v>713</v>
      </c>
      <c r="N355" s="26" t="s">
        <v>71</v>
      </c>
      <c r="O355" s="26" t="s">
        <v>72</v>
      </c>
      <c r="P355" s="26">
        <v>45</v>
      </c>
      <c r="Q355" s="27">
        <v>20073</v>
      </c>
      <c r="R355" s="26">
        <v>0</v>
      </c>
      <c r="S355" s="26" t="s">
        <v>872</v>
      </c>
      <c r="T355" s="26" t="s">
        <v>1035</v>
      </c>
      <c r="U355" s="26" t="str">
        <f t="shared" si="128"/>
        <v>PR</v>
      </c>
      <c r="V355" s="26">
        <f t="shared" si="127"/>
        <v>30</v>
      </c>
      <c r="W355" s="26" t="s">
        <v>90</v>
      </c>
      <c r="X355" s="26">
        <v>9</v>
      </c>
      <c r="Y355" s="26" t="s">
        <v>74</v>
      </c>
      <c r="Z355" s="26" t="s">
        <v>75</v>
      </c>
      <c r="AA355" s="28">
        <f t="shared" si="135"/>
        <v>0.97099999999999997</v>
      </c>
      <c r="AB355" s="28">
        <f t="shared" si="130"/>
        <v>1.321</v>
      </c>
      <c r="AC355" s="28">
        <f t="shared" si="131"/>
        <v>1.97</v>
      </c>
      <c r="AD355" s="28">
        <f t="shared" si="134"/>
        <v>0</v>
      </c>
      <c r="AE355" s="28">
        <f t="shared" si="132"/>
        <v>0.32200000000000001</v>
      </c>
      <c r="AF355" s="28">
        <f t="shared" si="114"/>
        <v>5561.61</v>
      </c>
      <c r="AG355" s="28">
        <f t="shared" si="121"/>
        <v>0.09</v>
      </c>
      <c r="AH355" s="28">
        <f t="shared" si="122"/>
        <v>459.58</v>
      </c>
      <c r="AI355" s="28">
        <f t="shared" si="115"/>
        <v>0</v>
      </c>
      <c r="AJ355" s="28">
        <f t="shared" si="129"/>
        <v>5101.9399999999996</v>
      </c>
      <c r="AK355" s="30">
        <f>'Report Inputs'!$F$2</f>
        <v>55.9</v>
      </c>
      <c r="AL355" s="28">
        <f>'Report Inputs'!$E$2</f>
        <v>1080</v>
      </c>
      <c r="AM355" s="28">
        <f t="shared" si="133"/>
        <v>251.90100000000001</v>
      </c>
      <c r="AN355" s="26" t="s">
        <v>744</v>
      </c>
      <c r="AS355" s="26" t="s">
        <v>76</v>
      </c>
      <c r="AT355" s="26" t="s">
        <v>77</v>
      </c>
      <c r="AU355" s="26" t="s">
        <v>78</v>
      </c>
      <c r="AV355" s="31">
        <f t="shared" ca="1" si="126"/>
        <v>42376.365371064814</v>
      </c>
    </row>
    <row r="356" spans="1:48">
      <c r="A356" s="26">
        <v>7</v>
      </c>
      <c r="B356" s="26">
        <f>MONTH('Report Inputs'!$B$2)</f>
        <v>11</v>
      </c>
      <c r="C356" s="26">
        <f>YEAR('Report Inputs'!$B$2)</f>
        <v>2015</v>
      </c>
      <c r="D356" s="26">
        <v>66571</v>
      </c>
      <c r="F356" s="26" t="s">
        <v>65</v>
      </c>
      <c r="G356" s="26" t="s">
        <v>66</v>
      </c>
      <c r="H356" s="26" t="s">
        <v>67</v>
      </c>
      <c r="I356" s="26" t="s">
        <v>68</v>
      </c>
      <c r="J356" s="26" t="s">
        <v>69</v>
      </c>
      <c r="K356" s="26">
        <v>713</v>
      </c>
      <c r="L356" s="26" t="s">
        <v>70</v>
      </c>
      <c r="M356" s="26">
        <v>713</v>
      </c>
      <c r="N356" s="26" t="s">
        <v>71</v>
      </c>
      <c r="O356" s="26" t="s">
        <v>72</v>
      </c>
      <c r="P356" s="26">
        <v>45</v>
      </c>
      <c r="Q356" s="27">
        <v>20074</v>
      </c>
      <c r="R356" s="26">
        <v>0</v>
      </c>
      <c r="S356" s="26" t="s">
        <v>899</v>
      </c>
      <c r="T356" s="26" t="s">
        <v>80</v>
      </c>
      <c r="U356" s="26" t="str">
        <f t="shared" si="128"/>
        <v>PR</v>
      </c>
      <c r="V356" s="26">
        <f t="shared" si="127"/>
        <v>30</v>
      </c>
      <c r="W356" s="26" t="s">
        <v>90</v>
      </c>
      <c r="X356" s="26">
        <v>9</v>
      </c>
      <c r="Y356" s="26" t="s">
        <v>74</v>
      </c>
      <c r="Z356" s="26" t="s">
        <v>75</v>
      </c>
      <c r="AA356" s="28">
        <f t="shared" si="135"/>
        <v>0.82199999999999995</v>
      </c>
      <c r="AB356" s="28">
        <f t="shared" si="130"/>
        <v>1.1180000000000001</v>
      </c>
      <c r="AC356" s="28">
        <f t="shared" si="131"/>
        <v>1.6679999999999999</v>
      </c>
      <c r="AD356" s="28">
        <f t="shared" si="134"/>
        <v>0</v>
      </c>
      <c r="AE356" s="28">
        <f t="shared" si="132"/>
        <v>0.27200000000000002</v>
      </c>
      <c r="AF356" s="28">
        <f t="shared" si="114"/>
        <v>4728.04</v>
      </c>
      <c r="AG356" s="28">
        <f t="shared" si="121"/>
        <v>7.0000000000000007E-2</v>
      </c>
      <c r="AH356" s="28">
        <f t="shared" si="122"/>
        <v>408.05200000000002</v>
      </c>
      <c r="AI356" s="28">
        <f t="shared" si="115"/>
        <v>0</v>
      </c>
      <c r="AJ356" s="28">
        <f t="shared" si="129"/>
        <v>4319.9179999999997</v>
      </c>
      <c r="AK356" s="30">
        <f>'Report Inputs'!$F$2</f>
        <v>55.9</v>
      </c>
      <c r="AL356" s="28">
        <f>'Report Inputs'!$E$2</f>
        <v>1080</v>
      </c>
      <c r="AM356" s="28">
        <f t="shared" si="133"/>
        <v>213.29</v>
      </c>
      <c r="AN356" s="26" t="s">
        <v>744</v>
      </c>
      <c r="AS356" s="26" t="s">
        <v>76</v>
      </c>
      <c r="AT356" s="26" t="s">
        <v>77</v>
      </c>
      <c r="AU356" s="26" t="s">
        <v>78</v>
      </c>
      <c r="AV356" s="31">
        <f t="shared" ca="1" si="126"/>
        <v>42376.365371064814</v>
      </c>
    </row>
    <row r="357" spans="1:48">
      <c r="A357" s="26">
        <v>7</v>
      </c>
      <c r="B357" s="26">
        <f>MONTH('Report Inputs'!$B$2)</f>
        <v>11</v>
      </c>
      <c r="C357" s="26">
        <f>YEAR('Report Inputs'!$B$2)</f>
        <v>2015</v>
      </c>
      <c r="D357" s="26">
        <v>66571</v>
      </c>
      <c r="F357" s="26" t="s">
        <v>65</v>
      </c>
      <c r="G357" s="26" t="s">
        <v>66</v>
      </c>
      <c r="H357" s="26" t="s">
        <v>67</v>
      </c>
      <c r="I357" s="26" t="s">
        <v>68</v>
      </c>
      <c r="J357" s="26" t="s">
        <v>69</v>
      </c>
      <c r="K357" s="26">
        <v>713</v>
      </c>
      <c r="L357" s="26" t="s">
        <v>70</v>
      </c>
      <c r="M357" s="26">
        <v>713</v>
      </c>
      <c r="N357" s="26" t="s">
        <v>71</v>
      </c>
      <c r="O357" s="26" t="s">
        <v>72</v>
      </c>
      <c r="P357" s="26">
        <v>45</v>
      </c>
      <c r="Q357" s="27">
        <v>20076</v>
      </c>
      <c r="R357" s="26">
        <v>0</v>
      </c>
      <c r="S357" s="26" t="s">
        <v>878</v>
      </c>
      <c r="T357" s="26" t="s">
        <v>80</v>
      </c>
      <c r="U357" s="26" t="str">
        <f t="shared" si="128"/>
        <v>PR</v>
      </c>
      <c r="V357" s="26">
        <f t="shared" si="127"/>
        <v>30</v>
      </c>
      <c r="W357" s="26" t="s">
        <v>90</v>
      </c>
      <c r="X357" s="26">
        <v>9</v>
      </c>
      <c r="Y357" s="26" t="s">
        <v>74</v>
      </c>
      <c r="Z357" s="26" t="s">
        <v>75</v>
      </c>
      <c r="AA357" s="28">
        <f t="shared" si="135"/>
        <v>0.85499999999999998</v>
      </c>
      <c r="AB357" s="28">
        <f t="shared" si="130"/>
        <v>1.1919999999999999</v>
      </c>
      <c r="AC357" s="28">
        <f t="shared" si="131"/>
        <v>1.758</v>
      </c>
      <c r="AD357" s="28">
        <f t="shared" si="134"/>
        <v>0</v>
      </c>
      <c r="AE357" s="28">
        <f t="shared" si="132"/>
        <v>0.28899999999999998</v>
      </c>
      <c r="AF357" s="28">
        <f t="shared" si="114"/>
        <v>5027.3500000000004</v>
      </c>
      <c r="AG357" s="28">
        <f t="shared" si="121"/>
        <v>0.08</v>
      </c>
      <c r="AH357" s="28">
        <f t="shared" si="122"/>
        <v>421.041</v>
      </c>
      <c r="AI357" s="28">
        <f t="shared" si="115"/>
        <v>0</v>
      </c>
      <c r="AJ357" s="28">
        <f t="shared" si="129"/>
        <v>4606.2290000000003</v>
      </c>
      <c r="AK357" s="30">
        <f>'Report Inputs'!$F$2</f>
        <v>55.9</v>
      </c>
      <c r="AL357" s="28">
        <f>'Report Inputs'!$E$2</f>
        <v>1080</v>
      </c>
      <c r="AM357" s="28">
        <f t="shared" si="133"/>
        <v>227.42599999999999</v>
      </c>
      <c r="AN357" s="26" t="s">
        <v>744</v>
      </c>
      <c r="AS357" s="26" t="s">
        <v>76</v>
      </c>
      <c r="AT357" s="26" t="s">
        <v>77</v>
      </c>
      <c r="AU357" s="26" t="s">
        <v>78</v>
      </c>
      <c r="AV357" s="31">
        <f t="shared" ca="1" si="126"/>
        <v>42376.365371064814</v>
      </c>
    </row>
    <row r="358" spans="1:48">
      <c r="A358" s="26">
        <v>7</v>
      </c>
      <c r="B358" s="26">
        <f>MONTH('Report Inputs'!$B$2)</f>
        <v>11</v>
      </c>
      <c r="C358" s="26">
        <f>YEAR('Report Inputs'!$B$2)</f>
        <v>2015</v>
      </c>
      <c r="D358" s="26">
        <v>66571</v>
      </c>
      <c r="F358" s="26" t="s">
        <v>65</v>
      </c>
      <c r="G358" s="26" t="s">
        <v>66</v>
      </c>
      <c r="H358" s="26" t="s">
        <v>67</v>
      </c>
      <c r="I358" s="26" t="s">
        <v>68</v>
      </c>
      <c r="J358" s="26" t="s">
        <v>69</v>
      </c>
      <c r="K358" s="26">
        <v>713</v>
      </c>
      <c r="L358" s="26" t="s">
        <v>70</v>
      </c>
      <c r="M358" s="26">
        <v>713</v>
      </c>
      <c r="N358" s="26" t="s">
        <v>71</v>
      </c>
      <c r="O358" s="26" t="s">
        <v>72</v>
      </c>
      <c r="P358" s="26">
        <v>45</v>
      </c>
      <c r="Q358" s="27">
        <v>20078</v>
      </c>
      <c r="R358" s="26">
        <v>0</v>
      </c>
      <c r="S358" s="26" t="s">
        <v>908</v>
      </c>
      <c r="T358" s="26" t="s">
        <v>80</v>
      </c>
      <c r="U358" s="26" t="str">
        <f t="shared" si="128"/>
        <v>PR</v>
      </c>
      <c r="V358" s="26">
        <f t="shared" si="127"/>
        <v>30</v>
      </c>
      <c r="W358" s="26" t="s">
        <v>90</v>
      </c>
      <c r="X358" s="26">
        <v>8</v>
      </c>
      <c r="Y358" s="26" t="s">
        <v>74</v>
      </c>
      <c r="Z358" s="26" t="s">
        <v>75</v>
      </c>
      <c r="AA358" s="28">
        <f t="shared" si="135"/>
        <v>0.57899999999999996</v>
      </c>
      <c r="AB358" s="28">
        <f t="shared" si="130"/>
        <v>5.6660000000000004</v>
      </c>
      <c r="AC358" s="28">
        <f t="shared" si="131"/>
        <v>5.8159999999999998</v>
      </c>
      <c r="AD358" s="28">
        <f t="shared" si="134"/>
        <v>-1</v>
      </c>
      <c r="AE358" s="28">
        <f t="shared" si="132"/>
        <v>0.42899999999999999</v>
      </c>
      <c r="AF358" s="28">
        <f t="shared" ref="AF358:AF399" si="136">IF(ISNA(VLOOKUP($Q358,data,9,FALSE)),0,VLOOKUP($Q358,data,9,FALSE))</f>
        <v>4565.55</v>
      </c>
      <c r="AG358" s="28">
        <f t="shared" si="121"/>
        <v>1</v>
      </c>
      <c r="AH358" s="28">
        <f t="shared" si="122"/>
        <v>292.94</v>
      </c>
      <c r="AI358" s="28">
        <f t="shared" ref="AI358:AI421" si="137">ROUND(AF358,0)-ROUND(AG358,0)-ROUND(AH358,0)-ROUND(AJ358,0)</f>
        <v>0</v>
      </c>
      <c r="AJ358" s="28">
        <f t="shared" si="129"/>
        <v>4271.6099999999997</v>
      </c>
      <c r="AK358" s="30">
        <f>'Report Inputs'!$F$2</f>
        <v>55.9</v>
      </c>
      <c r="AL358" s="28">
        <f>'Report Inputs'!$E$2</f>
        <v>1080</v>
      </c>
      <c r="AM358" s="28">
        <f t="shared" si="133"/>
        <v>153.33600000000001</v>
      </c>
      <c r="AN358" s="26" t="s">
        <v>744</v>
      </c>
      <c r="AS358" s="26" t="s">
        <v>76</v>
      </c>
      <c r="AT358" s="26" t="s">
        <v>77</v>
      </c>
      <c r="AU358" s="26" t="s">
        <v>78</v>
      </c>
      <c r="AV358" s="31">
        <f t="shared" ca="1" si="126"/>
        <v>42376.365371064814</v>
      </c>
    </row>
    <row r="359" spans="1:48">
      <c r="A359" s="26">
        <v>7</v>
      </c>
      <c r="B359" s="26">
        <f>MONTH('Report Inputs'!$B$2)</f>
        <v>11</v>
      </c>
      <c r="C359" s="26">
        <f>YEAR('Report Inputs'!$B$2)</f>
        <v>2015</v>
      </c>
      <c r="D359" s="26">
        <v>66571</v>
      </c>
      <c r="F359" s="26" t="s">
        <v>65</v>
      </c>
      <c r="G359" s="26" t="s">
        <v>66</v>
      </c>
      <c r="H359" s="26" t="s">
        <v>67</v>
      </c>
      <c r="I359" s="26" t="s">
        <v>68</v>
      </c>
      <c r="J359" s="26" t="s">
        <v>69</v>
      </c>
      <c r="K359" s="26">
        <v>713</v>
      </c>
      <c r="L359" s="26" t="s">
        <v>70</v>
      </c>
      <c r="M359" s="26">
        <v>713</v>
      </c>
      <c r="N359" s="26" t="s">
        <v>71</v>
      </c>
      <c r="O359" s="26" t="s">
        <v>72</v>
      </c>
      <c r="P359" s="26">
        <v>45</v>
      </c>
      <c r="Q359" s="27">
        <v>20079</v>
      </c>
      <c r="R359" s="26">
        <v>0</v>
      </c>
      <c r="S359" s="26" t="s">
        <v>909</v>
      </c>
      <c r="T359" s="26" t="s">
        <v>80</v>
      </c>
      <c r="U359" s="26" t="str">
        <f t="shared" si="128"/>
        <v>PR</v>
      </c>
      <c r="V359" s="26">
        <f t="shared" si="127"/>
        <v>30</v>
      </c>
      <c r="W359" s="26" t="s">
        <v>90</v>
      </c>
      <c r="X359" s="26">
        <v>8</v>
      </c>
      <c r="Y359" s="26" t="s">
        <v>74</v>
      </c>
      <c r="Z359" s="26" t="s">
        <v>75</v>
      </c>
      <c r="AA359" s="28">
        <f t="shared" si="135"/>
        <v>0.27500000000000002</v>
      </c>
      <c r="AB359" s="28">
        <f t="shared" si="130"/>
        <v>2.645</v>
      </c>
      <c r="AC359" s="28">
        <f t="shared" si="131"/>
        <v>2.72</v>
      </c>
      <c r="AD359" s="28">
        <f t="shared" si="134"/>
        <v>0</v>
      </c>
      <c r="AE359" s="28">
        <f t="shared" si="132"/>
        <v>0.2</v>
      </c>
      <c r="AF359" s="28">
        <f t="shared" si="136"/>
        <v>2184.12</v>
      </c>
      <c r="AG359" s="28">
        <f t="shared" si="121"/>
        <v>0.47</v>
      </c>
      <c r="AH359" s="28">
        <f t="shared" si="122"/>
        <v>189.614</v>
      </c>
      <c r="AI359" s="28">
        <f t="shared" si="137"/>
        <v>0</v>
      </c>
      <c r="AJ359" s="28">
        <f t="shared" si="129"/>
        <v>1994.0360000000001</v>
      </c>
      <c r="AK359" s="30">
        <f>'Report Inputs'!$F$2</f>
        <v>55.9</v>
      </c>
      <c r="AL359" s="28">
        <f>'Report Inputs'!$E$2</f>
        <v>1080</v>
      </c>
      <c r="AM359" s="28">
        <f t="shared" si="133"/>
        <v>71.578999999999994</v>
      </c>
      <c r="AN359" s="26" t="s">
        <v>744</v>
      </c>
      <c r="AS359" s="26" t="s">
        <v>76</v>
      </c>
      <c r="AT359" s="26" t="s">
        <v>77</v>
      </c>
      <c r="AU359" s="26" t="s">
        <v>78</v>
      </c>
      <c r="AV359" s="31">
        <f t="shared" ca="1" si="126"/>
        <v>42376.365371064814</v>
      </c>
    </row>
    <row r="360" spans="1:48">
      <c r="A360" s="26">
        <v>7</v>
      </c>
      <c r="B360" s="26">
        <f>MONTH('Report Inputs'!$B$2)</f>
        <v>11</v>
      </c>
      <c r="C360" s="26">
        <f>YEAR('Report Inputs'!$B$2)</f>
        <v>2015</v>
      </c>
      <c r="D360" s="26">
        <v>66571</v>
      </c>
      <c r="F360" s="26" t="s">
        <v>65</v>
      </c>
      <c r="G360" s="26" t="s">
        <v>66</v>
      </c>
      <c r="H360" s="26" t="s">
        <v>67</v>
      </c>
      <c r="I360" s="26" t="s">
        <v>68</v>
      </c>
      <c r="J360" s="26" t="s">
        <v>69</v>
      </c>
      <c r="K360" s="26">
        <v>713</v>
      </c>
      <c r="L360" s="26" t="s">
        <v>70</v>
      </c>
      <c r="M360" s="26">
        <v>713</v>
      </c>
      <c r="N360" s="26" t="s">
        <v>71</v>
      </c>
      <c r="O360" s="26" t="s">
        <v>72</v>
      </c>
      <c r="P360" s="26">
        <v>45</v>
      </c>
      <c r="Q360" s="27">
        <v>20081</v>
      </c>
      <c r="R360" s="26">
        <v>0</v>
      </c>
      <c r="S360" s="26" t="s">
        <v>915</v>
      </c>
      <c r="T360" s="26" t="s">
        <v>80</v>
      </c>
      <c r="U360" s="26" t="str">
        <f t="shared" si="128"/>
        <v>PR</v>
      </c>
      <c r="V360" s="26">
        <f t="shared" si="127"/>
        <v>30</v>
      </c>
      <c r="W360" s="26" t="s">
        <v>90</v>
      </c>
      <c r="X360" s="26">
        <v>8</v>
      </c>
      <c r="Y360" s="26" t="s">
        <v>74</v>
      </c>
      <c r="Z360" s="26" t="s">
        <v>75</v>
      </c>
      <c r="AA360" s="28">
        <f t="shared" si="135"/>
        <v>0.29799999999999999</v>
      </c>
      <c r="AB360" s="28">
        <f t="shared" si="130"/>
        <v>2.7869999999999999</v>
      </c>
      <c r="AC360" s="28">
        <f t="shared" si="131"/>
        <v>2.8730000000000002</v>
      </c>
      <c r="AD360" s="28">
        <f t="shared" si="134"/>
        <v>0</v>
      </c>
      <c r="AE360" s="28">
        <f t="shared" si="132"/>
        <v>0.21199999999999999</v>
      </c>
      <c r="AF360" s="28">
        <f t="shared" si="136"/>
        <v>2315.1999999999998</v>
      </c>
      <c r="AG360" s="28">
        <f t="shared" si="121"/>
        <v>0.49</v>
      </c>
      <c r="AH360" s="28">
        <v>215</v>
      </c>
      <c r="AI360" s="28">
        <f t="shared" si="137"/>
        <v>0</v>
      </c>
      <c r="AJ360" s="28">
        <f t="shared" si="129"/>
        <v>2100.2190000000001</v>
      </c>
      <c r="AK360" s="30">
        <f>'Report Inputs'!$F$2</f>
        <v>55.9</v>
      </c>
      <c r="AL360" s="28">
        <f>'Report Inputs'!$E$2</f>
        <v>1080</v>
      </c>
      <c r="AM360" s="28">
        <f t="shared" si="133"/>
        <v>75.39</v>
      </c>
      <c r="AN360" s="26" t="s">
        <v>744</v>
      </c>
      <c r="AS360" s="26" t="s">
        <v>76</v>
      </c>
      <c r="AT360" s="26" t="s">
        <v>77</v>
      </c>
      <c r="AU360" s="26" t="s">
        <v>78</v>
      </c>
      <c r="AV360" s="31">
        <f t="shared" ca="1" si="126"/>
        <v>42376.365371064814</v>
      </c>
    </row>
    <row r="361" spans="1:48">
      <c r="A361" s="26">
        <v>7</v>
      </c>
      <c r="B361" s="26">
        <f>MONTH('Report Inputs'!$B$2)</f>
        <v>11</v>
      </c>
      <c r="C361" s="26">
        <f>YEAR('Report Inputs'!$B$2)</f>
        <v>2015</v>
      </c>
      <c r="D361" s="26">
        <v>66571</v>
      </c>
      <c r="F361" s="26" t="s">
        <v>65</v>
      </c>
      <c r="G361" s="26" t="s">
        <v>66</v>
      </c>
      <c r="H361" s="26" t="s">
        <v>67</v>
      </c>
      <c r="I361" s="26" t="s">
        <v>68</v>
      </c>
      <c r="J361" s="26" t="s">
        <v>69</v>
      </c>
      <c r="K361" s="26">
        <v>713</v>
      </c>
      <c r="L361" s="26" t="s">
        <v>70</v>
      </c>
      <c r="M361" s="26">
        <v>713</v>
      </c>
      <c r="N361" s="26" t="s">
        <v>71</v>
      </c>
      <c r="O361" s="26" t="s">
        <v>72</v>
      </c>
      <c r="P361" s="26">
        <v>45</v>
      </c>
      <c r="Q361" s="27">
        <v>20082</v>
      </c>
      <c r="R361" s="26">
        <v>0</v>
      </c>
      <c r="S361" s="26" t="s">
        <v>880</v>
      </c>
      <c r="T361" s="26" t="s">
        <v>80</v>
      </c>
      <c r="U361" s="26" t="str">
        <f t="shared" si="128"/>
        <v>PR</v>
      </c>
      <c r="V361" s="26">
        <f t="shared" si="127"/>
        <v>30</v>
      </c>
      <c r="W361" s="26" t="s">
        <v>90</v>
      </c>
      <c r="X361" s="26">
        <v>9</v>
      </c>
      <c r="Y361" s="26" t="s">
        <v>74</v>
      </c>
      <c r="Z361" s="26" t="s">
        <v>75</v>
      </c>
      <c r="AA361" s="28">
        <f t="shared" si="135"/>
        <v>1.6220000000000001</v>
      </c>
      <c r="AB361" s="28">
        <f t="shared" si="130"/>
        <v>2.1819999999999999</v>
      </c>
      <c r="AC361" s="28">
        <f t="shared" si="131"/>
        <v>3.2719999999999998</v>
      </c>
      <c r="AD361" s="28">
        <f t="shared" si="134"/>
        <v>0</v>
      </c>
      <c r="AE361" s="28">
        <f t="shared" si="132"/>
        <v>0.53200000000000003</v>
      </c>
      <c r="AF361" s="28">
        <f t="shared" si="136"/>
        <v>9024.52</v>
      </c>
      <c r="AG361" s="28">
        <f t="shared" si="121"/>
        <v>0.15</v>
      </c>
      <c r="AH361" s="28">
        <f t="shared" si="122"/>
        <v>594.50800000000004</v>
      </c>
      <c r="AI361" s="28">
        <f t="shared" si="137"/>
        <v>0</v>
      </c>
      <c r="AJ361" s="28">
        <f t="shared" si="129"/>
        <v>8429.8619999999992</v>
      </c>
      <c r="AK361" s="30">
        <f>'Report Inputs'!$F$2</f>
        <v>55.9</v>
      </c>
      <c r="AL361" s="28">
        <f>'Report Inputs'!$E$2</f>
        <v>1080</v>
      </c>
      <c r="AM361" s="28">
        <f t="shared" si="133"/>
        <v>416.21199999999999</v>
      </c>
      <c r="AN361" s="26" t="s">
        <v>744</v>
      </c>
      <c r="AS361" s="26" t="s">
        <v>76</v>
      </c>
      <c r="AT361" s="26" t="s">
        <v>77</v>
      </c>
      <c r="AU361" s="26" t="s">
        <v>78</v>
      </c>
      <c r="AV361" s="31">
        <f t="shared" ca="1" si="126"/>
        <v>42376.365371064814</v>
      </c>
    </row>
    <row r="362" spans="1:48">
      <c r="A362" s="26">
        <v>7</v>
      </c>
      <c r="B362" s="26">
        <f>MONTH('Report Inputs'!$B$2)</f>
        <v>11</v>
      </c>
      <c r="C362" s="26">
        <f>YEAR('Report Inputs'!$B$2)</f>
        <v>2015</v>
      </c>
      <c r="D362" s="26">
        <v>66571</v>
      </c>
      <c r="F362" s="26" t="s">
        <v>65</v>
      </c>
      <c r="G362" s="26" t="s">
        <v>66</v>
      </c>
      <c r="H362" s="26" t="s">
        <v>67</v>
      </c>
      <c r="I362" s="26" t="s">
        <v>68</v>
      </c>
      <c r="J362" s="26" t="s">
        <v>69</v>
      </c>
      <c r="K362" s="26">
        <v>713</v>
      </c>
      <c r="L362" s="26" t="s">
        <v>70</v>
      </c>
      <c r="M362" s="26">
        <v>713</v>
      </c>
      <c r="N362" s="26" t="s">
        <v>71</v>
      </c>
      <c r="O362" s="26" t="s">
        <v>72</v>
      </c>
      <c r="P362" s="26">
        <v>45</v>
      </c>
      <c r="Q362" s="27">
        <v>20084</v>
      </c>
      <c r="R362" s="26">
        <v>0</v>
      </c>
      <c r="S362" s="26" t="s">
        <v>871</v>
      </c>
      <c r="T362" s="26" t="s">
        <v>80</v>
      </c>
      <c r="U362" s="26" t="str">
        <f t="shared" si="128"/>
        <v>PR</v>
      </c>
      <c r="V362" s="26">
        <f t="shared" si="127"/>
        <v>30</v>
      </c>
      <c r="W362" s="26" t="s">
        <v>90</v>
      </c>
      <c r="X362" s="26">
        <v>9</v>
      </c>
      <c r="Y362" s="26" t="s">
        <v>74</v>
      </c>
      <c r="Z362" s="26" t="s">
        <v>75</v>
      </c>
      <c r="AA362" s="28">
        <f t="shared" si="135"/>
        <v>0.65</v>
      </c>
      <c r="AB362" s="28">
        <f t="shared" si="130"/>
        <v>0.86699999999999999</v>
      </c>
      <c r="AC362" s="28">
        <f t="shared" si="131"/>
        <v>1.3049999999999999</v>
      </c>
      <c r="AD362" s="28">
        <f t="shared" si="134"/>
        <v>-1</v>
      </c>
      <c r="AE362" s="28">
        <f t="shared" si="132"/>
        <v>0.21199999999999999</v>
      </c>
      <c r="AF362" s="28">
        <f t="shared" si="136"/>
        <v>3714.33</v>
      </c>
      <c r="AG362" s="28">
        <f t="shared" si="121"/>
        <v>0.06</v>
      </c>
      <c r="AH362" s="28">
        <f t="shared" si="122"/>
        <v>364.05900000000003</v>
      </c>
      <c r="AI362" s="28">
        <f t="shared" si="137"/>
        <v>0</v>
      </c>
      <c r="AJ362" s="28">
        <f t="shared" si="129"/>
        <v>3350.2109999999998</v>
      </c>
      <c r="AK362" s="30">
        <f>'Report Inputs'!$F$2</f>
        <v>55.9</v>
      </c>
      <c r="AL362" s="28">
        <f>'Report Inputs'!$E$2</f>
        <v>1080</v>
      </c>
      <c r="AM362" s="28">
        <f t="shared" si="133"/>
        <v>165.41300000000001</v>
      </c>
      <c r="AN362" s="26" t="s">
        <v>744</v>
      </c>
      <c r="AS362" s="26" t="s">
        <v>76</v>
      </c>
      <c r="AT362" s="26" t="s">
        <v>77</v>
      </c>
      <c r="AU362" s="26" t="s">
        <v>78</v>
      </c>
      <c r="AV362" s="31">
        <f t="shared" ca="1" si="126"/>
        <v>42376.365371064814</v>
      </c>
    </row>
    <row r="363" spans="1:48">
      <c r="A363" s="26">
        <v>7</v>
      </c>
      <c r="B363" s="26">
        <f>MONTH('Report Inputs'!$B$2)</f>
        <v>11</v>
      </c>
      <c r="C363" s="26">
        <f>YEAR('Report Inputs'!$B$2)</f>
        <v>2015</v>
      </c>
      <c r="D363" s="26">
        <v>66571</v>
      </c>
      <c r="F363" s="26" t="s">
        <v>65</v>
      </c>
      <c r="G363" s="26" t="s">
        <v>66</v>
      </c>
      <c r="H363" s="26" t="s">
        <v>67</v>
      </c>
      <c r="I363" s="26" t="s">
        <v>68</v>
      </c>
      <c r="J363" s="26" t="s">
        <v>69</v>
      </c>
      <c r="K363" s="26">
        <v>713</v>
      </c>
      <c r="L363" s="26" t="s">
        <v>70</v>
      </c>
      <c r="M363" s="26">
        <v>713</v>
      </c>
      <c r="N363" s="26" t="s">
        <v>71</v>
      </c>
      <c r="O363" s="26" t="s">
        <v>72</v>
      </c>
      <c r="P363" s="26">
        <v>45</v>
      </c>
      <c r="Q363" s="27">
        <v>20087</v>
      </c>
      <c r="R363" s="26">
        <v>0</v>
      </c>
      <c r="S363" s="26" t="s">
        <v>916</v>
      </c>
      <c r="T363" s="26" t="s">
        <v>80</v>
      </c>
      <c r="U363" s="26" t="str">
        <f t="shared" si="128"/>
        <v>PR</v>
      </c>
      <c r="V363" s="26">
        <f t="shared" si="127"/>
        <v>30</v>
      </c>
      <c r="W363" s="26" t="s">
        <v>90</v>
      </c>
      <c r="X363" s="26">
        <v>8</v>
      </c>
      <c r="Y363" s="26" t="s">
        <v>74</v>
      </c>
      <c r="Z363" s="26" t="s">
        <v>75</v>
      </c>
      <c r="AA363" s="28">
        <f t="shared" si="135"/>
        <v>0.57999999999999996</v>
      </c>
      <c r="AB363" s="28">
        <f t="shared" si="130"/>
        <v>5.5270000000000001</v>
      </c>
      <c r="AC363" s="28">
        <f t="shared" si="131"/>
        <v>5.6879999999999997</v>
      </c>
      <c r="AD363" s="28">
        <f t="shared" si="134"/>
        <v>-1</v>
      </c>
      <c r="AE363" s="28">
        <f t="shared" si="132"/>
        <v>0.41899999999999998</v>
      </c>
      <c r="AF363" s="28">
        <f t="shared" si="136"/>
        <v>4456.03</v>
      </c>
      <c r="AG363" s="28">
        <f t="shared" si="121"/>
        <v>0.98</v>
      </c>
      <c r="AH363" s="28">
        <f t="shared" si="122"/>
        <v>288.18799999999999</v>
      </c>
      <c r="AI363" s="28">
        <f t="shared" si="137"/>
        <v>0</v>
      </c>
      <c r="AJ363" s="28">
        <f t="shared" si="129"/>
        <v>4166.8620000000001</v>
      </c>
      <c r="AK363" s="30">
        <f>'Report Inputs'!$F$2</f>
        <v>55.9</v>
      </c>
      <c r="AL363" s="28">
        <f>'Report Inputs'!$E$2</f>
        <v>1080</v>
      </c>
      <c r="AM363" s="28">
        <f t="shared" si="133"/>
        <v>149.57599999999999</v>
      </c>
      <c r="AN363" s="26" t="s">
        <v>744</v>
      </c>
      <c r="AS363" s="26" t="s">
        <v>76</v>
      </c>
      <c r="AT363" s="26" t="s">
        <v>77</v>
      </c>
      <c r="AU363" s="26" t="s">
        <v>78</v>
      </c>
      <c r="AV363" s="31">
        <f t="shared" ca="1" si="126"/>
        <v>42376.365371064814</v>
      </c>
    </row>
    <row r="364" spans="1:48">
      <c r="A364" s="26">
        <v>7</v>
      </c>
      <c r="B364" s="26">
        <f>MONTH('Report Inputs'!$B$2)</f>
        <v>11</v>
      </c>
      <c r="C364" s="26">
        <f>YEAR('Report Inputs'!$B$2)</f>
        <v>2015</v>
      </c>
      <c r="D364" s="26">
        <v>66571</v>
      </c>
      <c r="F364" s="26" t="s">
        <v>65</v>
      </c>
      <c r="G364" s="26" t="s">
        <v>66</v>
      </c>
      <c r="H364" s="26" t="s">
        <v>67</v>
      </c>
      <c r="I364" s="26" t="s">
        <v>68</v>
      </c>
      <c r="J364" s="26" t="s">
        <v>69</v>
      </c>
      <c r="K364" s="26">
        <v>713</v>
      </c>
      <c r="L364" s="26" t="s">
        <v>70</v>
      </c>
      <c r="M364" s="26">
        <v>713</v>
      </c>
      <c r="N364" s="26" t="s">
        <v>71</v>
      </c>
      <c r="O364" s="26" t="s">
        <v>72</v>
      </c>
      <c r="P364" s="26">
        <v>45</v>
      </c>
      <c r="Q364" s="27">
        <v>20088</v>
      </c>
      <c r="R364" s="26">
        <v>0</v>
      </c>
      <c r="S364" s="26" t="s">
        <v>882</v>
      </c>
      <c r="T364" s="26" t="s">
        <v>80</v>
      </c>
      <c r="U364" s="26" t="str">
        <f t="shared" si="128"/>
        <v>PR</v>
      </c>
      <c r="V364" s="26">
        <f t="shared" si="127"/>
        <v>30</v>
      </c>
      <c r="W364" s="26" t="s">
        <v>90</v>
      </c>
      <c r="X364" s="26">
        <v>9</v>
      </c>
      <c r="Y364" s="26" t="s">
        <v>74</v>
      </c>
      <c r="Z364" s="26" t="s">
        <v>75</v>
      </c>
      <c r="AA364" s="28">
        <f t="shared" si="135"/>
        <v>1.349</v>
      </c>
      <c r="AB364" s="28">
        <f t="shared" si="130"/>
        <v>1.851</v>
      </c>
      <c r="AC364" s="28">
        <f t="shared" si="131"/>
        <v>2.75</v>
      </c>
      <c r="AD364" s="28">
        <f t="shared" si="134"/>
        <v>0</v>
      </c>
      <c r="AE364" s="28">
        <f t="shared" si="132"/>
        <v>0.45</v>
      </c>
      <c r="AF364" s="28">
        <f t="shared" si="136"/>
        <v>7704.54</v>
      </c>
      <c r="AG364" s="28">
        <f t="shared" si="121"/>
        <v>0.12</v>
      </c>
      <c r="AH364" s="28">
        <f t="shared" si="122"/>
        <v>552.577</v>
      </c>
      <c r="AI364" s="28">
        <f t="shared" si="137"/>
        <v>0</v>
      </c>
      <c r="AJ364" s="28">
        <f t="shared" si="129"/>
        <v>7151.8429999999998</v>
      </c>
      <c r="AK364" s="30">
        <f>'Report Inputs'!$F$2</f>
        <v>55.9</v>
      </c>
      <c r="AL364" s="28">
        <f>'Report Inputs'!$E$2</f>
        <v>1080</v>
      </c>
      <c r="AM364" s="28">
        <f t="shared" si="133"/>
        <v>353.11200000000002</v>
      </c>
      <c r="AN364" s="26" t="s">
        <v>744</v>
      </c>
      <c r="AS364" s="26" t="s">
        <v>76</v>
      </c>
      <c r="AT364" s="26" t="s">
        <v>77</v>
      </c>
      <c r="AU364" s="26" t="s">
        <v>78</v>
      </c>
      <c r="AV364" s="31">
        <f t="shared" ca="1" si="126"/>
        <v>42376.365371064814</v>
      </c>
    </row>
    <row r="365" spans="1:48">
      <c r="A365" s="26">
        <v>7</v>
      </c>
      <c r="B365" s="26">
        <f>MONTH('Report Inputs'!$B$2)</f>
        <v>11</v>
      </c>
      <c r="C365" s="26">
        <f>YEAR('Report Inputs'!$B$2)</f>
        <v>2015</v>
      </c>
      <c r="D365" s="26">
        <v>66571</v>
      </c>
      <c r="F365" s="26" t="s">
        <v>65</v>
      </c>
      <c r="G365" s="26" t="s">
        <v>66</v>
      </c>
      <c r="H365" s="26" t="s">
        <v>67</v>
      </c>
      <c r="I365" s="26" t="s">
        <v>68</v>
      </c>
      <c r="J365" s="26" t="s">
        <v>69</v>
      </c>
      <c r="K365" s="26">
        <v>713</v>
      </c>
      <c r="L365" s="26" t="s">
        <v>70</v>
      </c>
      <c r="M365" s="26">
        <v>713</v>
      </c>
      <c r="N365" s="26" t="s">
        <v>71</v>
      </c>
      <c r="O365" s="26" t="s">
        <v>72</v>
      </c>
      <c r="P365" s="26">
        <v>45</v>
      </c>
      <c r="Q365" s="27">
        <v>20089</v>
      </c>
      <c r="R365" s="26">
        <v>0</v>
      </c>
      <c r="S365" s="26" t="s">
        <v>862</v>
      </c>
      <c r="T365" s="26" t="s">
        <v>80</v>
      </c>
      <c r="U365" s="26" t="str">
        <f t="shared" si="128"/>
        <v>PR</v>
      </c>
      <c r="V365" s="26">
        <f t="shared" si="127"/>
        <v>26</v>
      </c>
      <c r="W365" s="26" t="s">
        <v>90</v>
      </c>
      <c r="X365" s="26">
        <v>9</v>
      </c>
      <c r="Y365" s="26" t="s">
        <v>74</v>
      </c>
      <c r="Z365" s="26" t="s">
        <v>75</v>
      </c>
      <c r="AA365" s="28">
        <f t="shared" si="135"/>
        <v>1E-3</v>
      </c>
      <c r="AB365" s="28">
        <f t="shared" si="130"/>
        <v>6.0000000000000001E-3</v>
      </c>
      <c r="AC365" s="28">
        <f t="shared" si="131"/>
        <v>6.0000000000000001E-3</v>
      </c>
      <c r="AD365" s="28">
        <f t="shared" si="134"/>
        <v>0</v>
      </c>
      <c r="AE365" s="28">
        <f t="shared" si="132"/>
        <v>1E-3</v>
      </c>
      <c r="AF365" s="28">
        <f t="shared" si="136"/>
        <v>234.57</v>
      </c>
      <c r="AG365" s="28">
        <f t="shared" si="121"/>
        <v>0</v>
      </c>
      <c r="AH365" s="28">
        <f t="shared" si="122"/>
        <v>213.04599999999999</v>
      </c>
      <c r="AI365" s="28">
        <f t="shared" si="137"/>
        <v>0</v>
      </c>
      <c r="AJ365" s="28">
        <f t="shared" si="129"/>
        <v>21.524000000000001</v>
      </c>
      <c r="AL365" s="28">
        <f>'Report Inputs'!$E$2</f>
        <v>1080</v>
      </c>
      <c r="AM365" s="28">
        <f t="shared" si="133"/>
        <v>1.0620000000000001</v>
      </c>
      <c r="AN365" s="26" t="s">
        <v>744</v>
      </c>
      <c r="AS365" s="26" t="s">
        <v>76</v>
      </c>
      <c r="AT365" s="26" t="s">
        <v>77</v>
      </c>
      <c r="AU365" s="26" t="s">
        <v>78</v>
      </c>
      <c r="AV365" s="31">
        <f t="shared" ca="1" si="126"/>
        <v>42376.365371064814</v>
      </c>
    </row>
    <row r="366" spans="1:48">
      <c r="A366" s="26">
        <v>7</v>
      </c>
      <c r="B366" s="26">
        <f>MONTH('Report Inputs'!$B$2)</f>
        <v>11</v>
      </c>
      <c r="C366" s="26">
        <f>YEAR('Report Inputs'!$B$2)</f>
        <v>2015</v>
      </c>
      <c r="D366" s="26">
        <v>66571</v>
      </c>
      <c r="F366" s="26" t="s">
        <v>65</v>
      </c>
      <c r="G366" s="26" t="s">
        <v>66</v>
      </c>
      <c r="H366" s="26" t="s">
        <v>67</v>
      </c>
      <c r="I366" s="26" t="s">
        <v>68</v>
      </c>
      <c r="J366" s="26" t="s">
        <v>69</v>
      </c>
      <c r="K366" s="26">
        <v>713</v>
      </c>
      <c r="L366" s="26" t="s">
        <v>70</v>
      </c>
      <c r="M366" s="26">
        <v>713</v>
      </c>
      <c r="N366" s="26" t="s">
        <v>71</v>
      </c>
      <c r="O366" s="26" t="s">
        <v>72</v>
      </c>
      <c r="P366" s="26">
        <v>45</v>
      </c>
      <c r="Q366" s="27">
        <v>20091</v>
      </c>
      <c r="R366" s="26">
        <v>0</v>
      </c>
      <c r="S366" s="26" t="s">
        <v>921</v>
      </c>
      <c r="T366" s="26" t="s">
        <v>80</v>
      </c>
      <c r="U366" s="26" t="str">
        <f t="shared" si="128"/>
        <v>PR</v>
      </c>
      <c r="V366" s="26">
        <f t="shared" si="127"/>
        <v>30</v>
      </c>
      <c r="W366" s="26" t="s">
        <v>90</v>
      </c>
      <c r="X366" s="26">
        <v>8</v>
      </c>
      <c r="Y366" s="26" t="s">
        <v>74</v>
      </c>
      <c r="Z366" s="26" t="s">
        <v>75</v>
      </c>
      <c r="AA366" s="28">
        <f t="shared" si="135"/>
        <v>0.32800000000000001</v>
      </c>
      <c r="AB366" s="28">
        <f t="shared" si="130"/>
        <v>2.8290000000000002</v>
      </c>
      <c r="AC366" s="28">
        <f t="shared" si="131"/>
        <v>2.94</v>
      </c>
      <c r="AD366" s="28">
        <f t="shared" si="134"/>
        <v>0</v>
      </c>
      <c r="AE366" s="28">
        <f t="shared" si="132"/>
        <v>0.217</v>
      </c>
      <c r="AF366" s="28">
        <f t="shared" si="136"/>
        <v>2328.85</v>
      </c>
      <c r="AG366" s="28">
        <f t="shared" si="121"/>
        <v>0.5</v>
      </c>
      <c r="AH366" s="28">
        <f t="shared" si="122"/>
        <v>195.893</v>
      </c>
      <c r="AI366" s="28">
        <f t="shared" si="137"/>
        <v>0</v>
      </c>
      <c r="AJ366" s="28">
        <f t="shared" si="129"/>
        <v>2132.4569999999999</v>
      </c>
      <c r="AK366" s="30">
        <f>'Report Inputs'!$F$2</f>
        <v>55.9</v>
      </c>
      <c r="AL366" s="28">
        <f>'Report Inputs'!$E$2</f>
        <v>1080</v>
      </c>
      <c r="AM366" s="28">
        <f t="shared" si="133"/>
        <v>76.548000000000002</v>
      </c>
      <c r="AN366" s="26" t="s">
        <v>744</v>
      </c>
      <c r="AS366" s="26" t="s">
        <v>76</v>
      </c>
      <c r="AT366" s="26" t="s">
        <v>77</v>
      </c>
      <c r="AU366" s="26" t="s">
        <v>78</v>
      </c>
      <c r="AV366" s="31">
        <f t="shared" ca="1" si="126"/>
        <v>42376.365371064814</v>
      </c>
    </row>
    <row r="367" spans="1:48">
      <c r="A367" s="26">
        <v>7</v>
      </c>
      <c r="B367" s="26">
        <f>MONTH('Report Inputs'!$B$2)</f>
        <v>11</v>
      </c>
      <c r="C367" s="26">
        <f>YEAR('Report Inputs'!$B$2)</f>
        <v>2015</v>
      </c>
      <c r="D367" s="26">
        <v>66571</v>
      </c>
      <c r="F367" s="26" t="s">
        <v>65</v>
      </c>
      <c r="G367" s="26" t="s">
        <v>66</v>
      </c>
      <c r="H367" s="26" t="s">
        <v>67</v>
      </c>
      <c r="I367" s="26" t="s">
        <v>68</v>
      </c>
      <c r="J367" s="26" t="s">
        <v>69</v>
      </c>
      <c r="K367" s="26">
        <v>713</v>
      </c>
      <c r="L367" s="26" t="s">
        <v>70</v>
      </c>
      <c r="M367" s="26">
        <v>713</v>
      </c>
      <c r="N367" s="26" t="s">
        <v>71</v>
      </c>
      <c r="O367" s="26" t="s">
        <v>72</v>
      </c>
      <c r="P367" s="26">
        <v>45</v>
      </c>
      <c r="Q367" s="27">
        <v>20093</v>
      </c>
      <c r="R367" s="26">
        <v>0</v>
      </c>
      <c r="S367" s="26" t="s">
        <v>919</v>
      </c>
      <c r="T367" s="26" t="s">
        <v>80</v>
      </c>
      <c r="U367" s="26" t="str">
        <f t="shared" si="128"/>
        <v>PR</v>
      </c>
      <c r="V367" s="26">
        <f t="shared" si="127"/>
        <v>30</v>
      </c>
      <c r="W367" s="26" t="s">
        <v>90</v>
      </c>
      <c r="X367" s="26">
        <v>8</v>
      </c>
      <c r="Y367" s="26" t="s">
        <v>74</v>
      </c>
      <c r="Z367" s="26" t="s">
        <v>75</v>
      </c>
      <c r="AA367" s="28">
        <f t="shared" si="135"/>
        <v>0.36</v>
      </c>
      <c r="AB367" s="28">
        <f t="shared" si="130"/>
        <v>3.2589999999999999</v>
      </c>
      <c r="AC367" s="28">
        <f t="shared" si="131"/>
        <v>3.37</v>
      </c>
      <c r="AD367" s="28">
        <f t="shared" si="134"/>
        <v>0</v>
      </c>
      <c r="AE367" s="28">
        <f t="shared" si="132"/>
        <v>0.249</v>
      </c>
      <c r="AF367" s="28">
        <f t="shared" si="136"/>
        <v>2668.32</v>
      </c>
      <c r="AG367" s="28">
        <f t="shared" si="121"/>
        <v>0.56999999999999995</v>
      </c>
      <c r="AH367" s="28">
        <v>210</v>
      </c>
      <c r="AI367" s="28">
        <f t="shared" si="137"/>
        <v>0</v>
      </c>
      <c r="AJ367" s="28">
        <f t="shared" si="129"/>
        <v>2457.1280000000002</v>
      </c>
      <c r="AK367" s="30">
        <f>'Report Inputs'!$F$2</f>
        <v>55.9</v>
      </c>
      <c r="AL367" s="28">
        <f>'Report Inputs'!$E$2</f>
        <v>1080</v>
      </c>
      <c r="AM367" s="28">
        <f t="shared" si="133"/>
        <v>88.201999999999998</v>
      </c>
      <c r="AN367" s="26" t="s">
        <v>744</v>
      </c>
      <c r="AS367" s="26" t="s">
        <v>76</v>
      </c>
      <c r="AT367" s="26" t="s">
        <v>77</v>
      </c>
      <c r="AU367" s="26" t="s">
        <v>78</v>
      </c>
      <c r="AV367" s="31">
        <f t="shared" ca="1" si="126"/>
        <v>42376.365371064814</v>
      </c>
    </row>
    <row r="368" spans="1:48">
      <c r="A368" s="26">
        <v>7</v>
      </c>
      <c r="B368" s="26">
        <f>MONTH('Report Inputs'!$B$2)</f>
        <v>11</v>
      </c>
      <c r="C368" s="26">
        <f>YEAR('Report Inputs'!$B$2)</f>
        <v>2015</v>
      </c>
      <c r="D368" s="26">
        <v>66571</v>
      </c>
      <c r="F368" s="26" t="s">
        <v>65</v>
      </c>
      <c r="G368" s="26" t="s">
        <v>66</v>
      </c>
      <c r="H368" s="26" t="s">
        <v>67</v>
      </c>
      <c r="I368" s="26" t="s">
        <v>68</v>
      </c>
      <c r="J368" s="26" t="s">
        <v>69</v>
      </c>
      <c r="K368" s="26">
        <v>713</v>
      </c>
      <c r="L368" s="26" t="s">
        <v>70</v>
      </c>
      <c r="M368" s="26">
        <v>713</v>
      </c>
      <c r="N368" s="26" t="s">
        <v>71</v>
      </c>
      <c r="O368" s="26" t="s">
        <v>72</v>
      </c>
      <c r="P368" s="26">
        <v>45</v>
      </c>
      <c r="Q368" s="27">
        <v>20104</v>
      </c>
      <c r="R368" s="26">
        <v>0</v>
      </c>
      <c r="S368" s="26" t="s">
        <v>912</v>
      </c>
      <c r="T368" s="26" t="s">
        <v>80</v>
      </c>
      <c r="U368" s="26" t="str">
        <f t="shared" si="128"/>
        <v>PR</v>
      </c>
      <c r="V368" s="26">
        <f t="shared" si="127"/>
        <v>30</v>
      </c>
      <c r="W368" s="26" t="s">
        <v>90</v>
      </c>
      <c r="X368" s="26">
        <v>8</v>
      </c>
      <c r="Y368" s="26" t="s">
        <v>74</v>
      </c>
      <c r="Z368" s="26" t="s">
        <v>75</v>
      </c>
      <c r="AA368" s="28">
        <f t="shared" si="135"/>
        <v>0.65100000000000002</v>
      </c>
      <c r="AB368" s="28">
        <f t="shared" si="130"/>
        <v>6.3259999999999996</v>
      </c>
      <c r="AC368" s="28">
        <f t="shared" si="131"/>
        <v>6.4980000000000002</v>
      </c>
      <c r="AD368" s="28">
        <f t="shared" si="134"/>
        <v>-1</v>
      </c>
      <c r="AE368" s="28">
        <f t="shared" si="132"/>
        <v>0.47899999999999998</v>
      </c>
      <c r="AF368" s="28">
        <f t="shared" si="136"/>
        <v>5085.07</v>
      </c>
      <c r="AG368" s="28">
        <f t="shared" si="121"/>
        <v>1.1200000000000001</v>
      </c>
      <c r="AH368" s="28">
        <v>316</v>
      </c>
      <c r="AI368" s="28">
        <f t="shared" si="137"/>
        <v>0</v>
      </c>
      <c r="AJ368" s="28">
        <f t="shared" si="129"/>
        <v>4768.4690000000001</v>
      </c>
      <c r="AK368" s="30">
        <f>'Report Inputs'!$F$2</f>
        <v>55.9</v>
      </c>
      <c r="AL368" s="28">
        <f>'Report Inputs'!$E$2</f>
        <v>1080</v>
      </c>
      <c r="AM368" s="28">
        <f t="shared" si="133"/>
        <v>171.17099999999999</v>
      </c>
      <c r="AN368" s="26" t="s">
        <v>744</v>
      </c>
      <c r="AS368" s="26" t="s">
        <v>76</v>
      </c>
      <c r="AT368" s="26" t="s">
        <v>77</v>
      </c>
      <c r="AU368" s="26" t="s">
        <v>78</v>
      </c>
      <c r="AV368" s="31">
        <f t="shared" ca="1" si="126"/>
        <v>42376.365371064814</v>
      </c>
    </row>
    <row r="369" spans="1:48">
      <c r="A369" s="26">
        <v>7</v>
      </c>
      <c r="B369" s="26">
        <f>MONTH('Report Inputs'!$B$2)</f>
        <v>11</v>
      </c>
      <c r="C369" s="26">
        <f>YEAR('Report Inputs'!$B$2)</f>
        <v>2015</v>
      </c>
      <c r="D369" s="26">
        <v>66571</v>
      </c>
      <c r="F369" s="26" t="s">
        <v>65</v>
      </c>
      <c r="G369" s="26" t="s">
        <v>66</v>
      </c>
      <c r="H369" s="26" t="s">
        <v>67</v>
      </c>
      <c r="I369" s="26" t="s">
        <v>68</v>
      </c>
      <c r="J369" s="26" t="s">
        <v>69</v>
      </c>
      <c r="K369" s="26">
        <v>713</v>
      </c>
      <c r="L369" s="26" t="s">
        <v>70</v>
      </c>
      <c r="M369" s="26">
        <v>713</v>
      </c>
      <c r="N369" s="26" t="s">
        <v>71</v>
      </c>
      <c r="O369" s="26" t="s">
        <v>72</v>
      </c>
      <c r="P369" s="26">
        <v>45</v>
      </c>
      <c r="Q369" s="27">
        <v>20360</v>
      </c>
      <c r="R369" s="26">
        <v>0</v>
      </c>
      <c r="S369" s="26" t="s">
        <v>945</v>
      </c>
      <c r="T369" s="26" t="s">
        <v>80</v>
      </c>
      <c r="U369" s="26" t="str">
        <f t="shared" si="128"/>
        <v>PR</v>
      </c>
      <c r="V369" s="26">
        <f t="shared" si="127"/>
        <v>30</v>
      </c>
      <c r="W369" s="26" t="s">
        <v>980</v>
      </c>
      <c r="X369" s="26">
        <v>5</v>
      </c>
      <c r="Y369" s="26" t="s">
        <v>74</v>
      </c>
      <c r="Z369" s="26" t="s">
        <v>75</v>
      </c>
      <c r="AA369" s="28">
        <f t="shared" si="135"/>
        <v>0.61699999999999999</v>
      </c>
      <c r="AB369" s="28">
        <f t="shared" si="130"/>
        <v>16.594999999999999</v>
      </c>
      <c r="AC369" s="28">
        <f t="shared" si="131"/>
        <v>16.393000000000001</v>
      </c>
      <c r="AD369" s="28">
        <f t="shared" si="134"/>
        <v>-1</v>
      </c>
      <c r="AE369" s="28">
        <f t="shared" si="132"/>
        <v>0.81899999999999995</v>
      </c>
      <c r="AF369" s="28">
        <f t="shared" si="136"/>
        <v>4607.17</v>
      </c>
      <c r="AG369" s="28">
        <f t="shared" si="121"/>
        <v>3.22</v>
      </c>
      <c r="AH369" s="28">
        <f t="shared" si="122"/>
        <v>294.64999999999998</v>
      </c>
      <c r="AI369" s="28">
        <f t="shared" si="137"/>
        <v>0</v>
      </c>
      <c r="AJ369" s="28">
        <f t="shared" si="129"/>
        <v>4309.3</v>
      </c>
      <c r="AK369" s="30">
        <f>'Report Inputs'!$F$2</f>
        <v>55.9</v>
      </c>
      <c r="AL369" s="28">
        <f>'Report Inputs'!$E$2</f>
        <v>1080</v>
      </c>
      <c r="AM369" s="28">
        <f t="shared" si="133"/>
        <v>169.44200000000001</v>
      </c>
      <c r="AN369" s="26" t="s">
        <v>744</v>
      </c>
      <c r="AS369" s="26" t="s">
        <v>76</v>
      </c>
      <c r="AT369" s="26" t="s">
        <v>77</v>
      </c>
      <c r="AU369" s="26" t="s">
        <v>78</v>
      </c>
      <c r="AV369" s="31">
        <f t="shared" ca="1" si="126"/>
        <v>42376.365371064814</v>
      </c>
    </row>
    <row r="370" spans="1:48">
      <c r="A370" s="26">
        <v>7</v>
      </c>
      <c r="B370" s="26">
        <f>MONTH('Report Inputs'!$B$2)</f>
        <v>11</v>
      </c>
      <c r="C370" s="26">
        <f>YEAR('Report Inputs'!$B$2)</f>
        <v>2015</v>
      </c>
      <c r="D370" s="26">
        <v>66571</v>
      </c>
      <c r="F370" s="26" t="s">
        <v>65</v>
      </c>
      <c r="G370" s="26" t="s">
        <v>66</v>
      </c>
      <c r="H370" s="26" t="s">
        <v>67</v>
      </c>
      <c r="I370" s="26" t="s">
        <v>68</v>
      </c>
      <c r="J370" s="26" t="s">
        <v>69</v>
      </c>
      <c r="K370" s="26">
        <v>713</v>
      </c>
      <c r="L370" s="26" t="s">
        <v>70</v>
      </c>
      <c r="M370" s="26">
        <v>713</v>
      </c>
      <c r="N370" s="26" t="s">
        <v>71</v>
      </c>
      <c r="O370" s="26" t="s">
        <v>72</v>
      </c>
      <c r="P370" s="26">
        <v>45</v>
      </c>
      <c r="Q370" s="27">
        <v>20361</v>
      </c>
      <c r="R370" s="26">
        <v>0</v>
      </c>
      <c r="S370" s="26" t="s">
        <v>927</v>
      </c>
      <c r="T370" s="26" t="s">
        <v>80</v>
      </c>
      <c r="U370" s="26" t="str">
        <f t="shared" si="128"/>
        <v>PR</v>
      </c>
      <c r="V370" s="26">
        <f t="shared" si="127"/>
        <v>30</v>
      </c>
      <c r="W370" s="26" t="s">
        <v>980</v>
      </c>
      <c r="X370" s="26">
        <v>5</v>
      </c>
      <c r="Y370" s="26" t="s">
        <v>74</v>
      </c>
      <c r="Z370" s="26" t="s">
        <v>75</v>
      </c>
      <c r="AA370" s="28">
        <f t="shared" si="135"/>
        <v>0.66700000000000004</v>
      </c>
      <c r="AB370" s="28">
        <f t="shared" si="130"/>
        <v>17.695</v>
      </c>
      <c r="AC370" s="28">
        <f t="shared" si="131"/>
        <v>17.489000000000001</v>
      </c>
      <c r="AD370" s="28">
        <f t="shared" si="134"/>
        <v>-1</v>
      </c>
      <c r="AE370" s="28">
        <f t="shared" si="132"/>
        <v>0.873</v>
      </c>
      <c r="AF370" s="28">
        <f t="shared" si="136"/>
        <v>4905.9799999999996</v>
      </c>
      <c r="AG370" s="28">
        <f t="shared" si="121"/>
        <v>3.43</v>
      </c>
      <c r="AH370" s="28">
        <f t="shared" si="122"/>
        <v>307.60899999999998</v>
      </c>
      <c r="AI370" s="28">
        <f t="shared" si="137"/>
        <v>0</v>
      </c>
      <c r="AJ370" s="28">
        <f t="shared" si="129"/>
        <v>4594.9409999999998</v>
      </c>
      <c r="AK370" s="30">
        <f>'Report Inputs'!$F$2</f>
        <v>55.9</v>
      </c>
      <c r="AL370" s="28">
        <f>'Report Inputs'!$E$2</f>
        <v>1080</v>
      </c>
      <c r="AM370" s="28">
        <f t="shared" si="133"/>
        <v>180.673</v>
      </c>
      <c r="AN370" s="26" t="s">
        <v>744</v>
      </c>
      <c r="AS370" s="26" t="s">
        <v>76</v>
      </c>
      <c r="AT370" s="26" t="s">
        <v>77</v>
      </c>
      <c r="AU370" s="26" t="s">
        <v>78</v>
      </c>
      <c r="AV370" s="31">
        <f t="shared" ca="1" si="126"/>
        <v>42376.365371064814</v>
      </c>
    </row>
    <row r="371" spans="1:48">
      <c r="A371" s="26">
        <v>7</v>
      </c>
      <c r="B371" s="26">
        <f>MONTH('Report Inputs'!$B$2)</f>
        <v>11</v>
      </c>
      <c r="C371" s="26">
        <f>YEAR('Report Inputs'!$B$2)</f>
        <v>2015</v>
      </c>
      <c r="D371" s="26">
        <v>66571</v>
      </c>
      <c r="F371" s="26" t="s">
        <v>65</v>
      </c>
      <c r="G371" s="26" t="s">
        <v>66</v>
      </c>
      <c r="H371" s="26" t="s">
        <v>67</v>
      </c>
      <c r="I371" s="26" t="s">
        <v>68</v>
      </c>
      <c r="J371" s="26" t="s">
        <v>69</v>
      </c>
      <c r="K371" s="26">
        <v>713</v>
      </c>
      <c r="L371" s="26" t="s">
        <v>70</v>
      </c>
      <c r="M371" s="26">
        <v>713</v>
      </c>
      <c r="N371" s="26" t="s">
        <v>71</v>
      </c>
      <c r="O371" s="26" t="s">
        <v>72</v>
      </c>
      <c r="P371" s="26">
        <v>45</v>
      </c>
      <c r="Q371" s="27">
        <v>20362</v>
      </c>
      <c r="R371" s="26">
        <v>0</v>
      </c>
      <c r="S371" s="26" t="s">
        <v>938</v>
      </c>
      <c r="T371" s="26" t="s">
        <v>80</v>
      </c>
      <c r="U371" s="26" t="str">
        <f t="shared" si="128"/>
        <v>PR</v>
      </c>
      <c r="V371" s="26">
        <f t="shared" si="127"/>
        <v>30</v>
      </c>
      <c r="W371" s="26" t="s">
        <v>980</v>
      </c>
      <c r="X371" s="26">
        <v>5</v>
      </c>
      <c r="Y371" s="26" t="s">
        <v>74</v>
      </c>
      <c r="Z371" s="26" t="s">
        <v>75</v>
      </c>
      <c r="AA371" s="28">
        <f t="shared" si="135"/>
        <v>0.69299999999999995</v>
      </c>
      <c r="AB371" s="28">
        <f t="shared" si="130"/>
        <v>18.742999999999999</v>
      </c>
      <c r="AC371" s="28">
        <f t="shared" si="131"/>
        <v>18.510999999999999</v>
      </c>
      <c r="AD371" s="28">
        <f t="shared" si="134"/>
        <v>0</v>
      </c>
      <c r="AE371" s="28">
        <f t="shared" si="132"/>
        <v>0.92500000000000004</v>
      </c>
      <c r="AF371" s="28">
        <f t="shared" si="136"/>
        <v>5232.66</v>
      </c>
      <c r="AG371" s="28">
        <f t="shared" si="121"/>
        <v>3.63</v>
      </c>
      <c r="AH371" s="28">
        <f t="shared" si="122"/>
        <v>362.03100000000001</v>
      </c>
      <c r="AI371" s="28">
        <f t="shared" si="137"/>
        <v>0</v>
      </c>
      <c r="AJ371" s="28">
        <f t="shared" si="129"/>
        <v>4866.9989999999998</v>
      </c>
      <c r="AK371" s="30">
        <f>'Report Inputs'!$F$2</f>
        <v>55.9</v>
      </c>
      <c r="AL371" s="28">
        <f>'Report Inputs'!$E$2</f>
        <v>1080</v>
      </c>
      <c r="AM371" s="28">
        <f t="shared" si="133"/>
        <v>191.37</v>
      </c>
      <c r="AN371" s="26" t="s">
        <v>744</v>
      </c>
      <c r="AS371" s="26" t="s">
        <v>76</v>
      </c>
      <c r="AT371" s="26" t="s">
        <v>77</v>
      </c>
      <c r="AU371" s="26" t="s">
        <v>78</v>
      </c>
      <c r="AV371" s="31">
        <f t="shared" ca="1" si="126"/>
        <v>42376.365371064814</v>
      </c>
    </row>
    <row r="372" spans="1:48">
      <c r="A372" s="26">
        <v>7</v>
      </c>
      <c r="B372" s="26">
        <f>MONTH('Report Inputs'!$B$2)</f>
        <v>11</v>
      </c>
      <c r="C372" s="26">
        <f>YEAR('Report Inputs'!$B$2)</f>
        <v>2015</v>
      </c>
      <c r="D372" s="26">
        <v>66571</v>
      </c>
      <c r="F372" s="26" t="s">
        <v>65</v>
      </c>
      <c r="G372" s="26" t="s">
        <v>66</v>
      </c>
      <c r="H372" s="26" t="s">
        <v>67</v>
      </c>
      <c r="I372" s="26" t="s">
        <v>68</v>
      </c>
      <c r="J372" s="26" t="s">
        <v>69</v>
      </c>
      <c r="K372" s="26">
        <v>713</v>
      </c>
      <c r="L372" s="26" t="s">
        <v>70</v>
      </c>
      <c r="M372" s="26">
        <v>713</v>
      </c>
      <c r="N372" s="26" t="s">
        <v>71</v>
      </c>
      <c r="O372" s="26" t="s">
        <v>72</v>
      </c>
      <c r="P372" s="26">
        <v>45</v>
      </c>
      <c r="Q372" s="27">
        <v>20363</v>
      </c>
      <c r="R372" s="26">
        <v>0</v>
      </c>
      <c r="S372" s="26" t="s">
        <v>946</v>
      </c>
      <c r="T372" s="26" t="s">
        <v>80</v>
      </c>
      <c r="U372" s="26" t="str">
        <f t="shared" si="128"/>
        <v>PR</v>
      </c>
      <c r="V372" s="26">
        <f t="shared" si="127"/>
        <v>30</v>
      </c>
      <c r="W372" s="26" t="s">
        <v>980</v>
      </c>
      <c r="X372" s="26">
        <v>5</v>
      </c>
      <c r="Y372" s="26" t="s">
        <v>74</v>
      </c>
      <c r="Z372" s="26" t="s">
        <v>75</v>
      </c>
      <c r="AA372" s="28">
        <f t="shared" si="135"/>
        <v>1.1819999999999999</v>
      </c>
      <c r="AB372" s="28">
        <f t="shared" si="130"/>
        <v>32.258000000000003</v>
      </c>
      <c r="AC372" s="28">
        <f t="shared" si="131"/>
        <v>31.85</v>
      </c>
      <c r="AD372" s="28">
        <f t="shared" si="134"/>
        <v>1</v>
      </c>
      <c r="AE372" s="28">
        <f t="shared" si="132"/>
        <v>1.59</v>
      </c>
      <c r="AF372" s="28">
        <f t="shared" si="136"/>
        <v>8862</v>
      </c>
      <c r="AG372" s="28">
        <f t="shared" si="121"/>
        <v>6.25</v>
      </c>
      <c r="AH372" s="28">
        <f t="shared" si="122"/>
        <v>479.17</v>
      </c>
      <c r="AI372" s="28">
        <f t="shared" si="137"/>
        <v>0</v>
      </c>
      <c r="AJ372" s="28">
        <f t="shared" si="129"/>
        <v>8376.58</v>
      </c>
      <c r="AK372" s="30">
        <f>'Report Inputs'!$F$2</f>
        <v>55.9</v>
      </c>
      <c r="AL372" s="28">
        <f>'Report Inputs'!$E$2</f>
        <v>1080</v>
      </c>
      <c r="AM372" s="28">
        <f t="shared" si="133"/>
        <v>329.36500000000001</v>
      </c>
      <c r="AN372" s="26" t="s">
        <v>744</v>
      </c>
      <c r="AS372" s="26" t="s">
        <v>76</v>
      </c>
      <c r="AT372" s="26" t="s">
        <v>77</v>
      </c>
      <c r="AU372" s="26" t="s">
        <v>78</v>
      </c>
      <c r="AV372" s="31">
        <f t="shared" ca="1" si="126"/>
        <v>42376.365371064814</v>
      </c>
    </row>
    <row r="373" spans="1:48">
      <c r="A373" s="26">
        <v>7</v>
      </c>
      <c r="B373" s="26">
        <f>MONTH('Report Inputs'!$B$2)</f>
        <v>11</v>
      </c>
      <c r="C373" s="26">
        <f>YEAR('Report Inputs'!$B$2)</f>
        <v>2015</v>
      </c>
      <c r="D373" s="26">
        <v>66571</v>
      </c>
      <c r="F373" s="26" t="s">
        <v>65</v>
      </c>
      <c r="G373" s="26" t="s">
        <v>66</v>
      </c>
      <c r="H373" s="26" t="s">
        <v>67</v>
      </c>
      <c r="I373" s="26" t="s">
        <v>68</v>
      </c>
      <c r="J373" s="26" t="s">
        <v>69</v>
      </c>
      <c r="K373" s="26">
        <v>713</v>
      </c>
      <c r="L373" s="26" t="s">
        <v>70</v>
      </c>
      <c r="M373" s="26">
        <v>713</v>
      </c>
      <c r="N373" s="26" t="s">
        <v>71</v>
      </c>
      <c r="O373" s="26" t="s">
        <v>72</v>
      </c>
      <c r="P373" s="26">
        <v>45</v>
      </c>
      <c r="Q373" s="27">
        <v>20364</v>
      </c>
      <c r="R373" s="26">
        <v>0</v>
      </c>
      <c r="S373" s="26" t="s">
        <v>936</v>
      </c>
      <c r="T373" s="26" t="s">
        <v>80</v>
      </c>
      <c r="U373" s="26" t="str">
        <f t="shared" si="128"/>
        <v>PR</v>
      </c>
      <c r="V373" s="26">
        <f t="shared" si="127"/>
        <v>30</v>
      </c>
      <c r="W373" s="26" t="s">
        <v>980</v>
      </c>
      <c r="X373" s="26">
        <v>5</v>
      </c>
      <c r="Y373" s="26" t="s">
        <v>74</v>
      </c>
      <c r="Z373" s="26" t="s">
        <v>75</v>
      </c>
      <c r="AA373" s="28">
        <f t="shared" si="135"/>
        <v>1.018</v>
      </c>
      <c r="AB373" s="28">
        <f t="shared" si="130"/>
        <v>27.683</v>
      </c>
      <c r="AC373" s="28">
        <f t="shared" si="131"/>
        <v>27.335999999999999</v>
      </c>
      <c r="AD373" s="28">
        <f t="shared" si="134"/>
        <v>-1</v>
      </c>
      <c r="AE373" s="28">
        <f t="shared" si="132"/>
        <v>1.365</v>
      </c>
      <c r="AF373" s="28">
        <f t="shared" si="136"/>
        <v>7619.12</v>
      </c>
      <c r="AG373" s="28">
        <f t="shared" si="121"/>
        <v>5.37</v>
      </c>
      <c r="AH373" s="28">
        <v>426</v>
      </c>
      <c r="AI373" s="28">
        <f t="shared" si="137"/>
        <v>0</v>
      </c>
      <c r="AJ373" s="28">
        <f t="shared" si="129"/>
        <v>7188.48</v>
      </c>
      <c r="AK373" s="30">
        <f>'Report Inputs'!$F$2</f>
        <v>55.9</v>
      </c>
      <c r="AL373" s="28">
        <f>'Report Inputs'!$E$2</f>
        <v>1080</v>
      </c>
      <c r="AM373" s="28">
        <f t="shared" si="133"/>
        <v>282.64999999999998</v>
      </c>
      <c r="AN373" s="26" t="s">
        <v>744</v>
      </c>
      <c r="AS373" s="26" t="s">
        <v>76</v>
      </c>
      <c r="AT373" s="26" t="s">
        <v>77</v>
      </c>
      <c r="AU373" s="26" t="s">
        <v>78</v>
      </c>
      <c r="AV373" s="31">
        <f t="shared" ca="1" si="126"/>
        <v>42376.365371064814</v>
      </c>
    </row>
    <row r="374" spans="1:48">
      <c r="A374" s="26">
        <v>7</v>
      </c>
      <c r="B374" s="26">
        <f>MONTH('Report Inputs'!$B$2)</f>
        <v>11</v>
      </c>
      <c r="C374" s="26">
        <f>YEAR('Report Inputs'!$B$2)</f>
        <v>2015</v>
      </c>
      <c r="D374" s="26">
        <v>66571</v>
      </c>
      <c r="F374" s="26" t="s">
        <v>65</v>
      </c>
      <c r="G374" s="26" t="s">
        <v>66</v>
      </c>
      <c r="H374" s="26" t="s">
        <v>67</v>
      </c>
      <c r="I374" s="26" t="s">
        <v>68</v>
      </c>
      <c r="J374" s="26" t="s">
        <v>69</v>
      </c>
      <c r="K374" s="26">
        <v>713</v>
      </c>
      <c r="L374" s="26" t="s">
        <v>70</v>
      </c>
      <c r="M374" s="26">
        <v>713</v>
      </c>
      <c r="N374" s="26" t="s">
        <v>71</v>
      </c>
      <c r="O374" s="26" t="s">
        <v>72</v>
      </c>
      <c r="P374" s="26">
        <v>45</v>
      </c>
      <c r="Q374" s="27">
        <v>20365</v>
      </c>
      <c r="R374" s="26">
        <v>0</v>
      </c>
      <c r="S374" s="26" t="s">
        <v>942</v>
      </c>
      <c r="T374" s="26" t="s">
        <v>80</v>
      </c>
      <c r="U374" s="26" t="s">
        <v>1025</v>
      </c>
      <c r="V374" s="26">
        <f t="shared" si="127"/>
        <v>0</v>
      </c>
      <c r="W374" s="26" t="s">
        <v>980</v>
      </c>
      <c r="X374" s="26">
        <v>5</v>
      </c>
      <c r="Y374" s="26" t="s">
        <v>74</v>
      </c>
      <c r="Z374" s="26" t="s">
        <v>75</v>
      </c>
      <c r="AA374" s="28">
        <f t="shared" si="135"/>
        <v>0</v>
      </c>
      <c r="AB374" s="28">
        <f t="shared" si="130"/>
        <v>0</v>
      </c>
      <c r="AC374" s="28">
        <f t="shared" si="131"/>
        <v>0</v>
      </c>
      <c r="AD374" s="28">
        <f t="shared" si="134"/>
        <v>0</v>
      </c>
      <c r="AE374" s="28">
        <f t="shared" si="132"/>
        <v>0</v>
      </c>
      <c r="AF374" s="28">
        <f t="shared" si="136"/>
        <v>0</v>
      </c>
      <c r="AG374" s="28">
        <f t="shared" si="121"/>
        <v>0</v>
      </c>
      <c r="AH374" s="28">
        <f t="shared" si="122"/>
        <v>0</v>
      </c>
      <c r="AI374" s="28">
        <f t="shared" si="137"/>
        <v>0</v>
      </c>
      <c r="AJ374" s="28">
        <f t="shared" si="129"/>
        <v>0</v>
      </c>
      <c r="AM374" s="28">
        <f t="shared" si="133"/>
        <v>0</v>
      </c>
      <c r="AN374" s="26" t="s">
        <v>744</v>
      </c>
      <c r="AS374" s="26" t="s">
        <v>76</v>
      </c>
      <c r="AT374" s="26" t="s">
        <v>77</v>
      </c>
      <c r="AU374" s="26" t="s">
        <v>78</v>
      </c>
      <c r="AV374" s="31">
        <f t="shared" ca="1" si="126"/>
        <v>42376.365371064814</v>
      </c>
    </row>
    <row r="375" spans="1:48">
      <c r="A375" s="26">
        <v>7</v>
      </c>
      <c r="B375" s="26">
        <f>MONTH('Report Inputs'!$B$2)</f>
        <v>11</v>
      </c>
      <c r="C375" s="26">
        <f>YEAR('Report Inputs'!$B$2)</f>
        <v>2015</v>
      </c>
      <c r="D375" s="26">
        <v>66571</v>
      </c>
      <c r="F375" s="26" t="s">
        <v>65</v>
      </c>
      <c r="G375" s="26" t="s">
        <v>66</v>
      </c>
      <c r="H375" s="26" t="s">
        <v>67</v>
      </c>
      <c r="I375" s="26" t="s">
        <v>68</v>
      </c>
      <c r="J375" s="26" t="s">
        <v>69</v>
      </c>
      <c r="K375" s="26">
        <v>713</v>
      </c>
      <c r="L375" s="26" t="s">
        <v>70</v>
      </c>
      <c r="M375" s="26">
        <v>713</v>
      </c>
      <c r="N375" s="26" t="s">
        <v>71</v>
      </c>
      <c r="O375" s="26" t="s">
        <v>72</v>
      </c>
      <c r="P375" s="26">
        <v>45</v>
      </c>
      <c r="Q375" s="27">
        <v>20366</v>
      </c>
      <c r="R375" s="26">
        <v>0</v>
      </c>
      <c r="S375" s="26" t="s">
        <v>932</v>
      </c>
      <c r="T375" s="26" t="s">
        <v>80</v>
      </c>
      <c r="U375" s="26" t="str">
        <f t="shared" si="128"/>
        <v>PR</v>
      </c>
      <c r="V375" s="26">
        <f t="shared" si="127"/>
        <v>30</v>
      </c>
      <c r="W375" s="26" t="s">
        <v>980</v>
      </c>
      <c r="X375" s="26">
        <v>5</v>
      </c>
      <c r="Y375" s="26" t="s">
        <v>74</v>
      </c>
      <c r="Z375" s="26" t="s">
        <v>75</v>
      </c>
      <c r="AA375" s="28">
        <f t="shared" si="135"/>
        <v>1.0680000000000001</v>
      </c>
      <c r="AB375" s="28">
        <f t="shared" si="130"/>
        <v>27.666</v>
      </c>
      <c r="AC375" s="28">
        <f t="shared" si="131"/>
        <v>27.366</v>
      </c>
      <c r="AD375" s="28">
        <f t="shared" si="134"/>
        <v>-1</v>
      </c>
      <c r="AE375" s="28">
        <f t="shared" si="132"/>
        <v>1.3680000000000001</v>
      </c>
      <c r="AF375" s="28">
        <f t="shared" si="136"/>
        <v>7656.49</v>
      </c>
      <c r="AG375" s="28">
        <f t="shared" si="121"/>
        <v>5.36</v>
      </c>
      <c r="AH375" s="28">
        <f t="shared" si="122"/>
        <v>467.14600000000002</v>
      </c>
      <c r="AI375" s="28">
        <f t="shared" si="137"/>
        <v>0</v>
      </c>
      <c r="AJ375" s="28">
        <f t="shared" si="129"/>
        <v>7183.9840000000004</v>
      </c>
      <c r="AK375" s="30">
        <f>'Report Inputs'!$F$2</f>
        <v>55.9</v>
      </c>
      <c r="AL375" s="28">
        <f>'Report Inputs'!$E$2</f>
        <v>1080</v>
      </c>
      <c r="AM375" s="28">
        <f t="shared" si="133"/>
        <v>282.47399999999999</v>
      </c>
      <c r="AN375" s="26" t="s">
        <v>744</v>
      </c>
      <c r="AS375" s="26" t="s">
        <v>76</v>
      </c>
      <c r="AT375" s="26" t="s">
        <v>77</v>
      </c>
      <c r="AU375" s="26" t="s">
        <v>78</v>
      </c>
      <c r="AV375" s="31">
        <f t="shared" ca="1" si="126"/>
        <v>42376.365371064814</v>
      </c>
    </row>
    <row r="376" spans="1:48">
      <c r="A376" s="26">
        <v>7</v>
      </c>
      <c r="B376" s="26">
        <f>MONTH('Report Inputs'!$B$2)</f>
        <v>11</v>
      </c>
      <c r="C376" s="26">
        <f>YEAR('Report Inputs'!$B$2)</f>
        <v>2015</v>
      </c>
      <c r="D376" s="26">
        <v>66571</v>
      </c>
      <c r="F376" s="26" t="s">
        <v>65</v>
      </c>
      <c r="G376" s="26" t="s">
        <v>66</v>
      </c>
      <c r="H376" s="26" t="s">
        <v>67</v>
      </c>
      <c r="I376" s="26" t="s">
        <v>68</v>
      </c>
      <c r="J376" s="26" t="s">
        <v>69</v>
      </c>
      <c r="K376" s="26">
        <v>713</v>
      </c>
      <c r="L376" s="26" t="s">
        <v>70</v>
      </c>
      <c r="M376" s="26">
        <v>713</v>
      </c>
      <c r="N376" s="26" t="s">
        <v>71</v>
      </c>
      <c r="O376" s="26" t="s">
        <v>72</v>
      </c>
      <c r="P376" s="26">
        <v>45</v>
      </c>
      <c r="Q376" s="27">
        <v>20367</v>
      </c>
      <c r="R376" s="26">
        <v>0</v>
      </c>
      <c r="S376" s="26" t="s">
        <v>929</v>
      </c>
      <c r="T376" s="26" t="s">
        <v>80</v>
      </c>
      <c r="U376" s="26" t="str">
        <f t="shared" si="128"/>
        <v>PR</v>
      </c>
      <c r="V376" s="26">
        <f t="shared" si="127"/>
        <v>30</v>
      </c>
      <c r="W376" s="26" t="s">
        <v>980</v>
      </c>
      <c r="X376" s="26">
        <v>5</v>
      </c>
      <c r="Y376" s="26" t="s">
        <v>74</v>
      </c>
      <c r="Z376" s="26" t="s">
        <v>75</v>
      </c>
      <c r="AA376" s="28">
        <f t="shared" si="135"/>
        <v>0.92400000000000004</v>
      </c>
      <c r="AB376" s="28">
        <f t="shared" ref="AB376:AB399" si="138">IF(ISNA(VLOOKUP($Q376,data,7,FALSE)),0,VLOOKUP($Q376,data,7,FALSE))</f>
        <v>25.155000000000001</v>
      </c>
      <c r="AC376" s="28">
        <f t="shared" ref="AC376:AC399" si="139">IF(ISNA(VLOOKUP($Q376,data,6,FALSE)),0,VLOOKUP($Q376,data,6,FALSE))</f>
        <v>24.838000000000001</v>
      </c>
      <c r="AD376" s="28">
        <f t="shared" si="134"/>
        <v>0</v>
      </c>
      <c r="AE376" s="28">
        <f t="shared" ref="AE376:AE399" si="140">IF(ISNA(VLOOKUP($Q376,data,13,FALSE)),0,VLOOKUP($Q376,data,13,FALSE))</f>
        <v>1.2410000000000001</v>
      </c>
      <c r="AF376" s="28">
        <f t="shared" si="136"/>
        <v>7138.41</v>
      </c>
      <c r="AG376" s="28">
        <f t="shared" ref="AG376:AG398" si="141">IF(ISNA(VLOOKUP($Q376,data,10,FALSE)),0,VLOOKUP($Q376,data,10,FALSE))</f>
        <v>4.88</v>
      </c>
      <c r="AH376" s="28">
        <f t="shared" ref="AH376:AH399" si="142">IF(ISNA(VLOOKUP($Q376,data,11,FALSE)),0,VLOOKUP($Q376,data,11,FALSE))</f>
        <v>601.47</v>
      </c>
      <c r="AI376" s="28">
        <f t="shared" si="137"/>
        <v>0</v>
      </c>
      <c r="AJ376" s="28">
        <f t="shared" si="129"/>
        <v>6532.06</v>
      </c>
      <c r="AK376" s="30">
        <f>'Report Inputs'!$F$2</f>
        <v>55.9</v>
      </c>
      <c r="AL376" s="28">
        <f>'Report Inputs'!$E$2</f>
        <v>1080</v>
      </c>
      <c r="AM376" s="28">
        <f t="shared" ref="AM376:AM399" si="143">IF(ISNA(VLOOKUP($Q376,data,14,FALSE)),0,VLOOKUP($Q376,data,14,FALSE))</f>
        <v>256.83999999999997</v>
      </c>
      <c r="AN376" s="26" t="s">
        <v>744</v>
      </c>
      <c r="AS376" s="26" t="s">
        <v>76</v>
      </c>
      <c r="AT376" s="26" t="s">
        <v>77</v>
      </c>
      <c r="AU376" s="26" t="s">
        <v>78</v>
      </c>
      <c r="AV376" s="31">
        <f t="shared" ca="1" si="126"/>
        <v>42376.365371064814</v>
      </c>
    </row>
    <row r="377" spans="1:48">
      <c r="A377" s="26">
        <v>7</v>
      </c>
      <c r="B377" s="26">
        <f>MONTH('Report Inputs'!$B$2)</f>
        <v>11</v>
      </c>
      <c r="C377" s="26">
        <f>YEAR('Report Inputs'!$B$2)</f>
        <v>2015</v>
      </c>
      <c r="D377" s="26">
        <v>66571</v>
      </c>
      <c r="F377" s="26" t="s">
        <v>65</v>
      </c>
      <c r="G377" s="26" t="s">
        <v>66</v>
      </c>
      <c r="H377" s="26" t="s">
        <v>67</v>
      </c>
      <c r="I377" s="26" t="s">
        <v>68</v>
      </c>
      <c r="J377" s="26" t="s">
        <v>69</v>
      </c>
      <c r="K377" s="26">
        <v>713</v>
      </c>
      <c r="L377" s="26" t="s">
        <v>70</v>
      </c>
      <c r="M377" s="26">
        <v>713</v>
      </c>
      <c r="N377" s="26" t="s">
        <v>71</v>
      </c>
      <c r="O377" s="26" t="s">
        <v>72</v>
      </c>
      <c r="P377" s="26">
        <v>45</v>
      </c>
      <c r="Q377" s="27">
        <v>20368</v>
      </c>
      <c r="R377" s="26">
        <v>0</v>
      </c>
      <c r="S377" s="26" t="s">
        <v>930</v>
      </c>
      <c r="T377" s="26" t="s">
        <v>80</v>
      </c>
      <c r="U377" s="26" t="str">
        <f t="shared" si="128"/>
        <v>PR</v>
      </c>
      <c r="V377" s="26">
        <f t="shared" si="127"/>
        <v>30</v>
      </c>
      <c r="W377" s="26" t="s">
        <v>980</v>
      </c>
      <c r="X377" s="26">
        <v>5</v>
      </c>
      <c r="Y377" s="26" t="s">
        <v>74</v>
      </c>
      <c r="Z377" s="26" t="s">
        <v>75</v>
      </c>
      <c r="AA377" s="28">
        <f t="shared" si="135"/>
        <v>1.0669999999999999</v>
      </c>
      <c r="AB377" s="28">
        <f t="shared" si="138"/>
        <v>28.524000000000001</v>
      </c>
      <c r="AC377" s="28">
        <f t="shared" si="139"/>
        <v>28.183</v>
      </c>
      <c r="AD377" s="28">
        <f t="shared" si="134"/>
        <v>-1</v>
      </c>
      <c r="AE377" s="28">
        <f t="shared" si="140"/>
        <v>1.4079999999999999</v>
      </c>
      <c r="AF377" s="28">
        <f t="shared" si="136"/>
        <v>7960.7</v>
      </c>
      <c r="AG377" s="28">
        <f t="shared" si="141"/>
        <v>5.53</v>
      </c>
      <c r="AH377" s="28">
        <f t="shared" si="142"/>
        <v>548.10599999999999</v>
      </c>
      <c r="AI377" s="28">
        <f t="shared" si="137"/>
        <v>0</v>
      </c>
      <c r="AJ377" s="28">
        <f t="shared" si="129"/>
        <v>7407.0640000000003</v>
      </c>
      <c r="AK377" s="30">
        <f>'Report Inputs'!$F$2</f>
        <v>55.9</v>
      </c>
      <c r="AL377" s="28">
        <f>'Report Inputs'!$E$2</f>
        <v>1080</v>
      </c>
      <c r="AM377" s="28">
        <f t="shared" si="143"/>
        <v>291.245</v>
      </c>
      <c r="AN377" s="26" t="s">
        <v>744</v>
      </c>
      <c r="AS377" s="26" t="s">
        <v>76</v>
      </c>
      <c r="AT377" s="26" t="s">
        <v>77</v>
      </c>
      <c r="AU377" s="26" t="s">
        <v>78</v>
      </c>
      <c r="AV377" s="31">
        <f t="shared" ca="1" si="126"/>
        <v>42376.365371064814</v>
      </c>
    </row>
    <row r="378" spans="1:48">
      <c r="A378" s="26">
        <v>7</v>
      </c>
      <c r="B378" s="26">
        <f>MONTH('Report Inputs'!$B$2)</f>
        <v>11</v>
      </c>
      <c r="C378" s="26">
        <f>YEAR('Report Inputs'!$B$2)</f>
        <v>2015</v>
      </c>
      <c r="D378" s="26">
        <v>66571</v>
      </c>
      <c r="F378" s="26" t="s">
        <v>65</v>
      </c>
      <c r="G378" s="26" t="s">
        <v>66</v>
      </c>
      <c r="H378" s="26" t="s">
        <v>67</v>
      </c>
      <c r="I378" s="26" t="s">
        <v>68</v>
      </c>
      <c r="J378" s="26" t="s">
        <v>69</v>
      </c>
      <c r="K378" s="26">
        <v>713</v>
      </c>
      <c r="L378" s="26" t="s">
        <v>70</v>
      </c>
      <c r="M378" s="26">
        <v>713</v>
      </c>
      <c r="N378" s="26" t="s">
        <v>71</v>
      </c>
      <c r="O378" s="26" t="s">
        <v>72</v>
      </c>
      <c r="P378" s="26">
        <v>45</v>
      </c>
      <c r="Q378" s="27">
        <v>20369</v>
      </c>
      <c r="R378" s="26">
        <v>0</v>
      </c>
      <c r="S378" s="26" t="s">
        <v>926</v>
      </c>
      <c r="T378" s="26" t="s">
        <v>80</v>
      </c>
      <c r="U378" s="26" t="str">
        <f t="shared" si="128"/>
        <v>PR</v>
      </c>
      <c r="V378" s="26">
        <f t="shared" si="127"/>
        <v>30</v>
      </c>
      <c r="W378" s="26" t="s">
        <v>980</v>
      </c>
      <c r="X378" s="26">
        <v>5</v>
      </c>
      <c r="Y378" s="26" t="s">
        <v>74</v>
      </c>
      <c r="Z378" s="26" t="s">
        <v>75</v>
      </c>
      <c r="AA378" s="28">
        <f t="shared" si="135"/>
        <v>1.1599999999999999</v>
      </c>
      <c r="AB378" s="28">
        <f t="shared" si="138"/>
        <v>31.698</v>
      </c>
      <c r="AC378" s="28">
        <f t="shared" si="139"/>
        <v>31.295000000000002</v>
      </c>
      <c r="AD378" s="28">
        <f t="shared" si="134"/>
        <v>0</v>
      </c>
      <c r="AE378" s="28">
        <f t="shared" si="140"/>
        <v>1.5629999999999999</v>
      </c>
      <c r="AF378" s="28">
        <f t="shared" si="136"/>
        <v>8709.7900000000009</v>
      </c>
      <c r="AG378" s="28">
        <f t="shared" si="141"/>
        <v>6.14</v>
      </c>
      <c r="AH378" s="28">
        <f t="shared" si="142"/>
        <v>472.56900000000002</v>
      </c>
      <c r="AI378" s="28">
        <f t="shared" si="137"/>
        <v>0</v>
      </c>
      <c r="AJ378" s="28">
        <f t="shared" si="129"/>
        <v>8231.0810000000001</v>
      </c>
      <c r="AK378" s="30">
        <f>'Report Inputs'!$F$2</f>
        <v>55.9</v>
      </c>
      <c r="AL378" s="28">
        <f>'Report Inputs'!$E$2</f>
        <v>1080</v>
      </c>
      <c r="AM378" s="28">
        <f t="shared" si="143"/>
        <v>323.64499999999998</v>
      </c>
      <c r="AN378" s="26" t="s">
        <v>744</v>
      </c>
      <c r="AS378" s="26" t="s">
        <v>76</v>
      </c>
      <c r="AT378" s="26" t="s">
        <v>77</v>
      </c>
      <c r="AU378" s="26" t="s">
        <v>78</v>
      </c>
      <c r="AV378" s="31">
        <f t="shared" ca="1" si="126"/>
        <v>42376.365371064814</v>
      </c>
    </row>
    <row r="379" spans="1:48">
      <c r="A379" s="26">
        <v>7</v>
      </c>
      <c r="B379" s="26">
        <f>MONTH('Report Inputs'!$B$2)</f>
        <v>11</v>
      </c>
      <c r="C379" s="26">
        <f>YEAR('Report Inputs'!$B$2)</f>
        <v>2015</v>
      </c>
      <c r="D379" s="26">
        <v>66571</v>
      </c>
      <c r="F379" s="26" t="s">
        <v>65</v>
      </c>
      <c r="G379" s="26" t="s">
        <v>66</v>
      </c>
      <c r="H379" s="26" t="s">
        <v>67</v>
      </c>
      <c r="I379" s="26" t="s">
        <v>68</v>
      </c>
      <c r="J379" s="26" t="s">
        <v>69</v>
      </c>
      <c r="K379" s="26">
        <v>713</v>
      </c>
      <c r="L379" s="26" t="s">
        <v>70</v>
      </c>
      <c r="M379" s="26">
        <v>713</v>
      </c>
      <c r="N379" s="26" t="s">
        <v>71</v>
      </c>
      <c r="O379" s="26" t="s">
        <v>72</v>
      </c>
      <c r="P379" s="26">
        <v>45</v>
      </c>
      <c r="Q379" s="27">
        <v>20370</v>
      </c>
      <c r="R379" s="26">
        <v>0</v>
      </c>
      <c r="S379" s="26" t="s">
        <v>928</v>
      </c>
      <c r="T379" s="26" t="s">
        <v>80</v>
      </c>
      <c r="U379" s="26" t="str">
        <f t="shared" si="128"/>
        <v>PR</v>
      </c>
      <c r="V379" s="26">
        <f t="shared" si="127"/>
        <v>30</v>
      </c>
      <c r="W379" s="26" t="s">
        <v>980</v>
      </c>
      <c r="X379" s="26">
        <v>5</v>
      </c>
      <c r="Y379" s="26" t="s">
        <v>74</v>
      </c>
      <c r="Z379" s="26" t="s">
        <v>75</v>
      </c>
      <c r="AA379" s="28">
        <f t="shared" si="135"/>
        <v>0.84899999999999998</v>
      </c>
      <c r="AB379" s="28">
        <f t="shared" si="138"/>
        <v>22.35</v>
      </c>
      <c r="AC379" s="28">
        <f t="shared" si="139"/>
        <v>22.094999999999999</v>
      </c>
      <c r="AD379" s="28">
        <f t="shared" si="134"/>
        <v>0</v>
      </c>
      <c r="AE379" s="28">
        <f t="shared" si="140"/>
        <v>1.1040000000000001</v>
      </c>
      <c r="AF379" s="28">
        <f t="shared" si="136"/>
        <v>6176.16</v>
      </c>
      <c r="AG379" s="28">
        <f t="shared" si="141"/>
        <v>4.33</v>
      </c>
      <c r="AH379" s="28">
        <f t="shared" si="142"/>
        <v>368.22199999999998</v>
      </c>
      <c r="AI379" s="28">
        <f t="shared" si="137"/>
        <v>0</v>
      </c>
      <c r="AJ379" s="28">
        <f t="shared" si="129"/>
        <v>5803.6080000000002</v>
      </c>
      <c r="AK379" s="30">
        <f>'Report Inputs'!$F$2</f>
        <v>55.9</v>
      </c>
      <c r="AL379" s="28">
        <f>'Report Inputs'!$E$2</f>
        <v>1080</v>
      </c>
      <c r="AM379" s="28">
        <f t="shared" si="143"/>
        <v>228.197</v>
      </c>
      <c r="AN379" s="26" t="s">
        <v>744</v>
      </c>
      <c r="AS379" s="26" t="s">
        <v>76</v>
      </c>
      <c r="AT379" s="26" t="s">
        <v>77</v>
      </c>
      <c r="AU379" s="26" t="s">
        <v>78</v>
      </c>
      <c r="AV379" s="31">
        <f t="shared" ca="1" si="126"/>
        <v>42376.365371064814</v>
      </c>
    </row>
    <row r="380" spans="1:48">
      <c r="A380" s="26">
        <v>7</v>
      </c>
      <c r="B380" s="26">
        <f>MONTH('Report Inputs'!$B$2)</f>
        <v>11</v>
      </c>
      <c r="C380" s="26">
        <f>YEAR('Report Inputs'!$B$2)</f>
        <v>2015</v>
      </c>
      <c r="D380" s="26">
        <v>66571</v>
      </c>
      <c r="F380" s="26" t="s">
        <v>65</v>
      </c>
      <c r="G380" s="26" t="s">
        <v>66</v>
      </c>
      <c r="H380" s="26" t="s">
        <v>67</v>
      </c>
      <c r="I380" s="26" t="s">
        <v>68</v>
      </c>
      <c r="J380" s="26" t="s">
        <v>69</v>
      </c>
      <c r="K380" s="26">
        <v>713</v>
      </c>
      <c r="L380" s="26" t="s">
        <v>70</v>
      </c>
      <c r="M380" s="26">
        <v>713</v>
      </c>
      <c r="N380" s="26" t="s">
        <v>71</v>
      </c>
      <c r="O380" s="26" t="s">
        <v>72</v>
      </c>
      <c r="P380" s="26">
        <v>45</v>
      </c>
      <c r="Q380" s="27">
        <v>20371</v>
      </c>
      <c r="R380" s="26">
        <v>0</v>
      </c>
      <c r="S380" s="26" t="s">
        <v>950</v>
      </c>
      <c r="T380" s="26" t="s">
        <v>80</v>
      </c>
      <c r="U380" s="26" t="str">
        <f t="shared" si="128"/>
        <v>PR</v>
      </c>
      <c r="V380" s="26">
        <f t="shared" si="127"/>
        <v>30</v>
      </c>
      <c r="W380" s="26" t="s">
        <v>980</v>
      </c>
      <c r="X380" s="26">
        <v>5</v>
      </c>
      <c r="Y380" s="26" t="s">
        <v>74</v>
      </c>
      <c r="Z380" s="26" t="s">
        <v>75</v>
      </c>
      <c r="AA380" s="28">
        <f t="shared" si="135"/>
        <v>0.71299999999999997</v>
      </c>
      <c r="AB380" s="28">
        <f t="shared" si="138"/>
        <v>19.042000000000002</v>
      </c>
      <c r="AC380" s="28">
        <f t="shared" si="139"/>
        <v>18.815000000000001</v>
      </c>
      <c r="AD380" s="28">
        <f t="shared" si="134"/>
        <v>0</v>
      </c>
      <c r="AE380" s="28">
        <f t="shared" si="140"/>
        <v>0.94</v>
      </c>
      <c r="AF380" s="28">
        <f t="shared" si="136"/>
        <v>5317.86</v>
      </c>
      <c r="AG380" s="28">
        <f t="shared" si="141"/>
        <v>3.69</v>
      </c>
      <c r="AH380" s="28">
        <v>369</v>
      </c>
      <c r="AI380" s="28">
        <f t="shared" si="137"/>
        <v>0</v>
      </c>
      <c r="AJ380" s="28">
        <f t="shared" si="129"/>
        <v>4944.5789999999997</v>
      </c>
      <c r="AK380" s="30">
        <f>'Report Inputs'!$F$2</f>
        <v>55.9</v>
      </c>
      <c r="AL380" s="28">
        <f>'Report Inputs'!$E$2</f>
        <v>1080</v>
      </c>
      <c r="AM380" s="28">
        <f t="shared" si="143"/>
        <v>194.42</v>
      </c>
      <c r="AN380" s="26" t="s">
        <v>744</v>
      </c>
      <c r="AS380" s="26" t="s">
        <v>76</v>
      </c>
      <c r="AT380" s="26" t="s">
        <v>77</v>
      </c>
      <c r="AU380" s="26" t="s">
        <v>78</v>
      </c>
      <c r="AV380" s="31">
        <f t="shared" ca="1" si="126"/>
        <v>42376.365371064814</v>
      </c>
    </row>
    <row r="381" spans="1:48">
      <c r="A381" s="26">
        <v>7</v>
      </c>
      <c r="B381" s="26">
        <f>MONTH('Report Inputs'!$B$2)</f>
        <v>11</v>
      </c>
      <c r="C381" s="26">
        <f>YEAR('Report Inputs'!$B$2)</f>
        <v>2015</v>
      </c>
      <c r="D381" s="26">
        <v>66571</v>
      </c>
      <c r="F381" s="26" t="s">
        <v>65</v>
      </c>
      <c r="G381" s="26" t="s">
        <v>66</v>
      </c>
      <c r="H381" s="26" t="s">
        <v>67</v>
      </c>
      <c r="I381" s="26" t="s">
        <v>68</v>
      </c>
      <c r="J381" s="26" t="s">
        <v>69</v>
      </c>
      <c r="K381" s="26">
        <v>713</v>
      </c>
      <c r="L381" s="26" t="s">
        <v>70</v>
      </c>
      <c r="M381" s="26">
        <v>713</v>
      </c>
      <c r="N381" s="26" t="s">
        <v>71</v>
      </c>
      <c r="O381" s="26" t="s">
        <v>72</v>
      </c>
      <c r="P381" s="26">
        <v>45</v>
      </c>
      <c r="Q381" s="27">
        <v>20372</v>
      </c>
      <c r="R381" s="26">
        <v>0</v>
      </c>
      <c r="S381" s="26" t="s">
        <v>931</v>
      </c>
      <c r="T381" s="26" t="s">
        <v>80</v>
      </c>
      <c r="U381" s="26" t="str">
        <f t="shared" si="128"/>
        <v>PR</v>
      </c>
      <c r="V381" s="26">
        <f t="shared" si="127"/>
        <v>30</v>
      </c>
      <c r="W381" s="26" t="s">
        <v>980</v>
      </c>
      <c r="X381" s="26">
        <v>5</v>
      </c>
      <c r="Y381" s="26" t="s">
        <v>74</v>
      </c>
      <c r="Z381" s="26" t="s">
        <v>75</v>
      </c>
      <c r="AA381" s="28">
        <f t="shared" ref="AA381:AA399" si="144">IF(ISNA(VLOOKUP($Q381,data,5,FALSE)),0,VLOOKUP($Q381,data,5,FALSE))</f>
        <v>0.93100000000000005</v>
      </c>
      <c r="AB381" s="28">
        <f t="shared" si="138"/>
        <v>25.187000000000001</v>
      </c>
      <c r="AC381" s="28">
        <f t="shared" si="139"/>
        <v>24.876000000000001</v>
      </c>
      <c r="AD381" s="28">
        <f t="shared" si="134"/>
        <v>0</v>
      </c>
      <c r="AE381" s="28">
        <f t="shared" si="140"/>
        <v>1.242</v>
      </c>
      <c r="AF381" s="28">
        <f t="shared" si="136"/>
        <v>6983.21</v>
      </c>
      <c r="AG381" s="28">
        <f t="shared" si="141"/>
        <v>4.88</v>
      </c>
      <c r="AH381" s="28">
        <f t="shared" si="142"/>
        <v>437.947</v>
      </c>
      <c r="AI381" s="28">
        <f t="shared" si="137"/>
        <v>0</v>
      </c>
      <c r="AJ381" s="28">
        <f t="shared" si="129"/>
        <v>6540.3829999999998</v>
      </c>
      <c r="AK381" s="30">
        <f>'Report Inputs'!$F$2</f>
        <v>55.9</v>
      </c>
      <c r="AL381" s="28">
        <f>'Report Inputs'!$E$2</f>
        <v>1080</v>
      </c>
      <c r="AM381" s="28">
        <f t="shared" si="143"/>
        <v>257.16699999999997</v>
      </c>
      <c r="AN381" s="26" t="s">
        <v>744</v>
      </c>
      <c r="AS381" s="26" t="s">
        <v>76</v>
      </c>
      <c r="AT381" s="26" t="s">
        <v>77</v>
      </c>
      <c r="AU381" s="26" t="s">
        <v>78</v>
      </c>
      <c r="AV381" s="31">
        <f t="shared" ca="1" si="126"/>
        <v>42376.365371064814</v>
      </c>
    </row>
    <row r="382" spans="1:48">
      <c r="A382" s="26">
        <v>7</v>
      </c>
      <c r="B382" s="26">
        <f>MONTH('Report Inputs'!$B$2)</f>
        <v>11</v>
      </c>
      <c r="C382" s="26">
        <f>YEAR('Report Inputs'!$B$2)</f>
        <v>2015</v>
      </c>
      <c r="D382" s="26">
        <v>66571</v>
      </c>
      <c r="F382" s="26" t="s">
        <v>65</v>
      </c>
      <c r="G382" s="26" t="s">
        <v>66</v>
      </c>
      <c r="H382" s="26" t="s">
        <v>67</v>
      </c>
      <c r="I382" s="26" t="s">
        <v>68</v>
      </c>
      <c r="J382" s="26" t="s">
        <v>69</v>
      </c>
      <c r="K382" s="26">
        <v>713</v>
      </c>
      <c r="L382" s="26" t="s">
        <v>70</v>
      </c>
      <c r="M382" s="26">
        <v>713</v>
      </c>
      <c r="N382" s="26" t="s">
        <v>71</v>
      </c>
      <c r="O382" s="26" t="s">
        <v>72</v>
      </c>
      <c r="P382" s="26">
        <v>45</v>
      </c>
      <c r="Q382" s="27">
        <v>20373</v>
      </c>
      <c r="R382" s="26">
        <v>0</v>
      </c>
      <c r="S382" s="26" t="s">
        <v>937</v>
      </c>
      <c r="T382" s="26" t="s">
        <v>80</v>
      </c>
      <c r="U382" s="26" t="str">
        <f t="shared" si="128"/>
        <v>PR</v>
      </c>
      <c r="V382" s="26">
        <f t="shared" si="127"/>
        <v>30</v>
      </c>
      <c r="W382" s="26" t="s">
        <v>980</v>
      </c>
      <c r="X382" s="26">
        <v>5</v>
      </c>
      <c r="Y382" s="26" t="s">
        <v>74</v>
      </c>
      <c r="Z382" s="26" t="s">
        <v>75</v>
      </c>
      <c r="AA382" s="28">
        <f t="shared" si="144"/>
        <v>0.98799999999999999</v>
      </c>
      <c r="AB382" s="28">
        <f t="shared" si="138"/>
        <v>26.687000000000001</v>
      </c>
      <c r="AC382" s="28">
        <f t="shared" si="139"/>
        <v>26.36</v>
      </c>
      <c r="AD382" s="28">
        <f t="shared" si="134"/>
        <v>-1</v>
      </c>
      <c r="AE382" s="28">
        <f t="shared" si="140"/>
        <v>1.3149999999999999</v>
      </c>
      <c r="AF382" s="28">
        <f t="shared" si="136"/>
        <v>7390.8</v>
      </c>
      <c r="AG382" s="28">
        <f t="shared" si="141"/>
        <v>5.17</v>
      </c>
      <c r="AH382" s="28">
        <f t="shared" si="142"/>
        <v>455.62299999999999</v>
      </c>
      <c r="AI382" s="28">
        <f t="shared" si="137"/>
        <v>0</v>
      </c>
      <c r="AJ382" s="28">
        <f t="shared" si="129"/>
        <v>6930.0069999999996</v>
      </c>
      <c r="AK382" s="30">
        <f>'Report Inputs'!$F$2</f>
        <v>55.9</v>
      </c>
      <c r="AL382" s="28">
        <f>'Report Inputs'!$E$2</f>
        <v>1080</v>
      </c>
      <c r="AM382" s="28">
        <f t="shared" si="143"/>
        <v>272.488</v>
      </c>
      <c r="AN382" s="26" t="s">
        <v>744</v>
      </c>
      <c r="AS382" s="26" t="s">
        <v>76</v>
      </c>
      <c r="AT382" s="26" t="s">
        <v>77</v>
      </c>
      <c r="AU382" s="26" t="s">
        <v>78</v>
      </c>
      <c r="AV382" s="31">
        <f t="shared" ca="1" si="126"/>
        <v>42376.365371064814</v>
      </c>
    </row>
    <row r="383" spans="1:48">
      <c r="A383" s="26">
        <v>7</v>
      </c>
      <c r="B383" s="26">
        <f>MONTH('Report Inputs'!$B$2)</f>
        <v>11</v>
      </c>
      <c r="C383" s="26">
        <f>YEAR('Report Inputs'!$B$2)</f>
        <v>2015</v>
      </c>
      <c r="D383" s="26">
        <v>66571</v>
      </c>
      <c r="F383" s="26" t="s">
        <v>65</v>
      </c>
      <c r="G383" s="26" t="s">
        <v>66</v>
      </c>
      <c r="H383" s="26" t="s">
        <v>67</v>
      </c>
      <c r="I383" s="26" t="s">
        <v>68</v>
      </c>
      <c r="J383" s="26" t="s">
        <v>69</v>
      </c>
      <c r="K383" s="26">
        <v>713</v>
      </c>
      <c r="L383" s="26" t="s">
        <v>70</v>
      </c>
      <c r="M383" s="26">
        <v>713</v>
      </c>
      <c r="N383" s="26" t="s">
        <v>71</v>
      </c>
      <c r="O383" s="26" t="s">
        <v>72</v>
      </c>
      <c r="P383" s="26">
        <v>45</v>
      </c>
      <c r="Q383" s="27">
        <v>20374</v>
      </c>
      <c r="R383" s="26">
        <v>0</v>
      </c>
      <c r="S383" s="26" t="s">
        <v>939</v>
      </c>
      <c r="T383" s="26" t="s">
        <v>80</v>
      </c>
      <c r="U383" s="26" t="str">
        <f t="shared" si="128"/>
        <v>PR</v>
      </c>
      <c r="V383" s="26">
        <f t="shared" si="127"/>
        <v>30</v>
      </c>
      <c r="W383" s="26" t="s">
        <v>980</v>
      </c>
      <c r="X383" s="26">
        <v>5</v>
      </c>
      <c r="Y383" s="26" t="s">
        <v>74</v>
      </c>
      <c r="Z383" s="26" t="s">
        <v>75</v>
      </c>
      <c r="AA383" s="28">
        <f t="shared" si="144"/>
        <v>0.86299999999999999</v>
      </c>
      <c r="AB383" s="28">
        <f t="shared" si="138"/>
        <v>24.213000000000001</v>
      </c>
      <c r="AC383" s="28">
        <f t="shared" si="139"/>
        <v>23.884</v>
      </c>
      <c r="AD383" s="28">
        <f t="shared" si="134"/>
        <v>0</v>
      </c>
      <c r="AE383" s="28">
        <f t="shared" si="140"/>
        <v>1.1919999999999999</v>
      </c>
      <c r="AF383" s="28">
        <f t="shared" si="136"/>
        <v>6676.54</v>
      </c>
      <c r="AG383" s="28">
        <f t="shared" si="141"/>
        <v>4.6900000000000004</v>
      </c>
      <c r="AH383" s="28">
        <v>385</v>
      </c>
      <c r="AI383" s="28">
        <f t="shared" si="137"/>
        <v>0</v>
      </c>
      <c r="AJ383" s="28">
        <f t="shared" si="129"/>
        <v>6287.4570000000003</v>
      </c>
      <c r="AK383" s="30">
        <f>'Report Inputs'!$F$2</f>
        <v>55.9</v>
      </c>
      <c r="AL383" s="28">
        <f>'Report Inputs'!$E$2</f>
        <v>1080</v>
      </c>
      <c r="AM383" s="28">
        <f t="shared" si="143"/>
        <v>247.22300000000001</v>
      </c>
      <c r="AN383" s="26" t="s">
        <v>744</v>
      </c>
      <c r="AS383" s="26" t="s">
        <v>76</v>
      </c>
      <c r="AT383" s="26" t="s">
        <v>77</v>
      </c>
      <c r="AU383" s="26" t="s">
        <v>78</v>
      </c>
      <c r="AV383" s="31">
        <f t="shared" ref="AV383:AV446" ca="1" si="145">NOW()</f>
        <v>42376.365371064814</v>
      </c>
    </row>
    <row r="384" spans="1:48">
      <c r="A384" s="26">
        <v>7</v>
      </c>
      <c r="B384" s="26">
        <f>MONTH('Report Inputs'!$B$2)</f>
        <v>11</v>
      </c>
      <c r="C384" s="26">
        <f>YEAR('Report Inputs'!$B$2)</f>
        <v>2015</v>
      </c>
      <c r="D384" s="26">
        <v>66571</v>
      </c>
      <c r="F384" s="26" t="s">
        <v>65</v>
      </c>
      <c r="G384" s="26" t="s">
        <v>66</v>
      </c>
      <c r="H384" s="26" t="s">
        <v>67</v>
      </c>
      <c r="I384" s="26" t="s">
        <v>68</v>
      </c>
      <c r="J384" s="26" t="s">
        <v>69</v>
      </c>
      <c r="K384" s="26">
        <v>713</v>
      </c>
      <c r="L384" s="26" t="s">
        <v>70</v>
      </c>
      <c r="M384" s="26">
        <v>713</v>
      </c>
      <c r="N384" s="26" t="s">
        <v>71</v>
      </c>
      <c r="O384" s="26" t="s">
        <v>72</v>
      </c>
      <c r="P384" s="26">
        <v>45</v>
      </c>
      <c r="Q384" s="27">
        <v>20375</v>
      </c>
      <c r="R384" s="26">
        <v>0</v>
      </c>
      <c r="S384" s="26" t="s">
        <v>947</v>
      </c>
      <c r="T384" s="26" t="s">
        <v>80</v>
      </c>
      <c r="U384" s="26" t="str">
        <f t="shared" si="128"/>
        <v>PR</v>
      </c>
      <c r="V384" s="26">
        <f t="shared" si="127"/>
        <v>30</v>
      </c>
      <c r="W384" s="26" t="s">
        <v>980</v>
      </c>
      <c r="X384" s="26">
        <v>5</v>
      </c>
      <c r="Y384" s="26" t="s">
        <v>74</v>
      </c>
      <c r="Z384" s="26" t="s">
        <v>75</v>
      </c>
      <c r="AA384" s="28">
        <f t="shared" si="144"/>
        <v>0.92100000000000004</v>
      </c>
      <c r="AB384" s="28">
        <f t="shared" si="138"/>
        <v>24.521999999999998</v>
      </c>
      <c r="AC384" s="28">
        <f t="shared" si="139"/>
        <v>24.231999999999999</v>
      </c>
      <c r="AD384" s="28">
        <f t="shared" si="134"/>
        <v>-1</v>
      </c>
      <c r="AE384" s="28">
        <f t="shared" si="140"/>
        <v>1.2110000000000001</v>
      </c>
      <c r="AF384" s="28">
        <f t="shared" si="136"/>
        <v>6760.5</v>
      </c>
      <c r="AG384" s="28">
        <f t="shared" si="141"/>
        <v>4.75</v>
      </c>
      <c r="AH384" s="28">
        <f t="shared" si="142"/>
        <v>388.03399999999999</v>
      </c>
      <c r="AI384" s="28">
        <f t="shared" si="137"/>
        <v>0</v>
      </c>
      <c r="AJ384" s="28">
        <f t="shared" si="129"/>
        <v>6367.7160000000003</v>
      </c>
      <c r="AK384" s="30">
        <f>'Report Inputs'!$F$2</f>
        <v>55.9</v>
      </c>
      <c r="AL384" s="28">
        <f>'Report Inputs'!$E$2</f>
        <v>1080</v>
      </c>
      <c r="AM384" s="28">
        <f t="shared" si="143"/>
        <v>250.37799999999999</v>
      </c>
      <c r="AN384" s="26" t="s">
        <v>744</v>
      </c>
      <c r="AS384" s="26" t="s">
        <v>76</v>
      </c>
      <c r="AT384" s="26" t="s">
        <v>77</v>
      </c>
      <c r="AU384" s="26" t="s">
        <v>78</v>
      </c>
      <c r="AV384" s="31">
        <f t="shared" ca="1" si="145"/>
        <v>42376.365371064814</v>
      </c>
    </row>
    <row r="385" spans="1:48">
      <c r="A385" s="26">
        <v>7</v>
      </c>
      <c r="B385" s="26">
        <f>MONTH('Report Inputs'!$B$2)</f>
        <v>11</v>
      </c>
      <c r="C385" s="26">
        <f>YEAR('Report Inputs'!$B$2)</f>
        <v>2015</v>
      </c>
      <c r="D385" s="26">
        <v>66571</v>
      </c>
      <c r="F385" s="26" t="s">
        <v>65</v>
      </c>
      <c r="G385" s="26" t="s">
        <v>66</v>
      </c>
      <c r="H385" s="26" t="s">
        <v>67</v>
      </c>
      <c r="I385" s="26" t="s">
        <v>68</v>
      </c>
      <c r="J385" s="26" t="s">
        <v>69</v>
      </c>
      <c r="K385" s="26">
        <v>713</v>
      </c>
      <c r="L385" s="26" t="s">
        <v>70</v>
      </c>
      <c r="M385" s="26">
        <v>713</v>
      </c>
      <c r="N385" s="26" t="s">
        <v>71</v>
      </c>
      <c r="O385" s="26" t="s">
        <v>72</v>
      </c>
      <c r="P385" s="26">
        <v>45</v>
      </c>
      <c r="Q385" s="27">
        <v>20376</v>
      </c>
      <c r="R385" s="26">
        <v>0</v>
      </c>
      <c r="S385" s="26" t="s">
        <v>944</v>
      </c>
      <c r="T385" s="26" t="s">
        <v>80</v>
      </c>
      <c r="U385" s="26" t="str">
        <f t="shared" si="128"/>
        <v>PR</v>
      </c>
      <c r="V385" s="26">
        <f t="shared" si="127"/>
        <v>30</v>
      </c>
      <c r="W385" s="26" t="s">
        <v>980</v>
      </c>
      <c r="X385" s="26">
        <v>5</v>
      </c>
      <c r="Y385" s="26" t="s">
        <v>74</v>
      </c>
      <c r="Z385" s="26" t="s">
        <v>75</v>
      </c>
      <c r="AA385" s="28">
        <f t="shared" si="144"/>
        <v>0.93899999999999995</v>
      </c>
      <c r="AB385" s="28">
        <f t="shared" si="138"/>
        <v>24.754999999999999</v>
      </c>
      <c r="AC385" s="28">
        <f t="shared" si="139"/>
        <v>24.471</v>
      </c>
      <c r="AD385" s="28">
        <f t="shared" si="134"/>
        <v>-1</v>
      </c>
      <c r="AE385" s="28">
        <f t="shared" si="140"/>
        <v>1.2230000000000001</v>
      </c>
      <c r="AF385" s="28">
        <f t="shared" si="136"/>
        <v>6865.83</v>
      </c>
      <c r="AG385" s="28">
        <f t="shared" si="141"/>
        <v>4.8</v>
      </c>
      <c r="AH385" s="28">
        <f t="shared" si="142"/>
        <v>432.85700000000003</v>
      </c>
      <c r="AI385" s="28">
        <f t="shared" si="137"/>
        <v>0</v>
      </c>
      <c r="AJ385" s="28">
        <f t="shared" si="129"/>
        <v>6428.1729999999998</v>
      </c>
      <c r="AK385" s="30">
        <f>'Report Inputs'!$F$2</f>
        <v>55.9</v>
      </c>
      <c r="AL385" s="28">
        <f>'Report Inputs'!$E$2</f>
        <v>1080</v>
      </c>
      <c r="AM385" s="28">
        <f t="shared" si="143"/>
        <v>252.755</v>
      </c>
      <c r="AN385" s="26" t="s">
        <v>744</v>
      </c>
      <c r="AS385" s="26" t="s">
        <v>76</v>
      </c>
      <c r="AT385" s="26" t="s">
        <v>77</v>
      </c>
      <c r="AU385" s="26" t="s">
        <v>78</v>
      </c>
      <c r="AV385" s="31">
        <f t="shared" ca="1" si="145"/>
        <v>42376.365371064814</v>
      </c>
    </row>
    <row r="386" spans="1:48">
      <c r="A386" s="26">
        <v>7</v>
      </c>
      <c r="B386" s="26">
        <f>MONTH('Report Inputs'!$B$2)</f>
        <v>11</v>
      </c>
      <c r="C386" s="26">
        <f>YEAR('Report Inputs'!$B$2)</f>
        <v>2015</v>
      </c>
      <c r="D386" s="26">
        <v>66571</v>
      </c>
      <c r="F386" s="26" t="s">
        <v>65</v>
      </c>
      <c r="G386" s="26" t="s">
        <v>66</v>
      </c>
      <c r="H386" s="26" t="s">
        <v>67</v>
      </c>
      <c r="I386" s="26" t="s">
        <v>68</v>
      </c>
      <c r="J386" s="26" t="s">
        <v>69</v>
      </c>
      <c r="K386" s="26">
        <v>713</v>
      </c>
      <c r="L386" s="26" t="s">
        <v>70</v>
      </c>
      <c r="M386" s="26">
        <v>713</v>
      </c>
      <c r="N386" s="26" t="s">
        <v>71</v>
      </c>
      <c r="O386" s="26" t="s">
        <v>72</v>
      </c>
      <c r="P386" s="26">
        <v>45</v>
      </c>
      <c r="Q386" s="27">
        <v>20377</v>
      </c>
      <c r="R386" s="26">
        <v>0</v>
      </c>
      <c r="S386" s="26" t="s">
        <v>933</v>
      </c>
      <c r="T386" s="26" t="s">
        <v>80</v>
      </c>
      <c r="U386" s="26" t="str">
        <f t="shared" si="128"/>
        <v>PR</v>
      </c>
      <c r="V386" s="26">
        <f t="shared" ref="V386:V406" si="146">IF(ISNA(VLOOKUP($Q386,data,4,FALSE)),0,VLOOKUP($Q386,data,4,FALSE))</f>
        <v>30</v>
      </c>
      <c r="W386" s="26" t="s">
        <v>980</v>
      </c>
      <c r="X386" s="26">
        <v>5</v>
      </c>
      <c r="Y386" s="26" t="s">
        <v>74</v>
      </c>
      <c r="Z386" s="26" t="s">
        <v>75</v>
      </c>
      <c r="AA386" s="28">
        <f t="shared" si="144"/>
        <v>0.91</v>
      </c>
      <c r="AB386" s="28">
        <f t="shared" si="138"/>
        <v>24.484000000000002</v>
      </c>
      <c r="AC386" s="28">
        <f t="shared" si="139"/>
        <v>24.186</v>
      </c>
      <c r="AD386" s="28">
        <f t="shared" si="134"/>
        <v>0</v>
      </c>
      <c r="AE386" s="28">
        <f t="shared" si="140"/>
        <v>1.208</v>
      </c>
      <c r="AF386" s="28">
        <f t="shared" si="136"/>
        <v>6792.18</v>
      </c>
      <c r="AG386" s="28">
        <f t="shared" si="141"/>
        <v>4.75</v>
      </c>
      <c r="AH386" s="28">
        <v>429</v>
      </c>
      <c r="AI386" s="28">
        <f t="shared" si="137"/>
        <v>0</v>
      </c>
      <c r="AJ386" s="28">
        <f t="shared" si="129"/>
        <v>6357.7669999999998</v>
      </c>
      <c r="AK386" s="30">
        <f>'Report Inputs'!$F$2</f>
        <v>55.9</v>
      </c>
      <c r="AL386" s="28">
        <f>'Report Inputs'!$E$2</f>
        <v>1080</v>
      </c>
      <c r="AM386" s="28">
        <f t="shared" si="143"/>
        <v>249.98699999999999</v>
      </c>
      <c r="AN386" s="26" t="s">
        <v>744</v>
      </c>
      <c r="AS386" s="26" t="s">
        <v>76</v>
      </c>
      <c r="AT386" s="26" t="s">
        <v>77</v>
      </c>
      <c r="AU386" s="26" t="s">
        <v>78</v>
      </c>
      <c r="AV386" s="31">
        <f t="shared" ca="1" si="145"/>
        <v>42376.365371064814</v>
      </c>
    </row>
    <row r="387" spans="1:48">
      <c r="A387" s="26">
        <v>7</v>
      </c>
      <c r="B387" s="26">
        <f>MONTH('Report Inputs'!$B$2)</f>
        <v>11</v>
      </c>
      <c r="C387" s="26">
        <f>YEAR('Report Inputs'!$B$2)</f>
        <v>2015</v>
      </c>
      <c r="D387" s="26">
        <v>66571</v>
      </c>
      <c r="F387" s="26" t="s">
        <v>65</v>
      </c>
      <c r="G387" s="26" t="s">
        <v>66</v>
      </c>
      <c r="H387" s="26" t="s">
        <v>67</v>
      </c>
      <c r="I387" s="26" t="s">
        <v>68</v>
      </c>
      <c r="J387" s="26" t="s">
        <v>69</v>
      </c>
      <c r="K387" s="26">
        <v>713</v>
      </c>
      <c r="L387" s="26" t="s">
        <v>70</v>
      </c>
      <c r="M387" s="26">
        <v>713</v>
      </c>
      <c r="N387" s="26" t="s">
        <v>71</v>
      </c>
      <c r="O387" s="26" t="s">
        <v>72</v>
      </c>
      <c r="P387" s="26">
        <v>45</v>
      </c>
      <c r="Q387" s="27">
        <v>20379</v>
      </c>
      <c r="R387" s="26">
        <v>0</v>
      </c>
      <c r="S387" s="26" t="s">
        <v>951</v>
      </c>
      <c r="T387" s="26" t="s">
        <v>80</v>
      </c>
      <c r="U387" s="26" t="str">
        <f t="shared" si="128"/>
        <v>PR</v>
      </c>
      <c r="V387" s="26">
        <f t="shared" si="146"/>
        <v>30</v>
      </c>
      <c r="W387" s="26" t="s">
        <v>980</v>
      </c>
      <c r="X387" s="26">
        <v>5</v>
      </c>
      <c r="Y387" s="26" t="s">
        <v>74</v>
      </c>
      <c r="Z387" s="26" t="s">
        <v>75</v>
      </c>
      <c r="AA387" s="28">
        <f t="shared" si="144"/>
        <v>0.48399999999999999</v>
      </c>
      <c r="AB387" s="28">
        <f t="shared" si="138"/>
        <v>12.762</v>
      </c>
      <c r="AC387" s="28">
        <f t="shared" si="139"/>
        <v>12.616</v>
      </c>
      <c r="AD387" s="28">
        <f t="shared" si="134"/>
        <v>1</v>
      </c>
      <c r="AE387" s="28">
        <f t="shared" si="140"/>
        <v>0.63</v>
      </c>
      <c r="AF387" s="28">
        <f t="shared" si="136"/>
        <v>3608.1</v>
      </c>
      <c r="AG387" s="28">
        <f t="shared" si="141"/>
        <v>2.4700000000000002</v>
      </c>
      <c r="AH387" s="28">
        <f t="shared" si="142"/>
        <v>291.57799999999997</v>
      </c>
      <c r="AI387" s="28">
        <f t="shared" si="137"/>
        <v>0</v>
      </c>
      <c r="AJ387" s="28">
        <f t="shared" si="129"/>
        <v>3314.0520000000001</v>
      </c>
      <c r="AK387" s="30">
        <f>'Report Inputs'!$F$2</f>
        <v>55.9</v>
      </c>
      <c r="AL387" s="28">
        <f>'Report Inputs'!$E$2</f>
        <v>1080</v>
      </c>
      <c r="AM387" s="28">
        <f t="shared" si="143"/>
        <v>130.309</v>
      </c>
      <c r="AN387" s="26" t="s">
        <v>744</v>
      </c>
      <c r="AS387" s="26" t="s">
        <v>76</v>
      </c>
      <c r="AT387" s="26" t="s">
        <v>77</v>
      </c>
      <c r="AU387" s="26" t="s">
        <v>78</v>
      </c>
      <c r="AV387" s="31">
        <f t="shared" ca="1" si="145"/>
        <v>42376.365371064814</v>
      </c>
    </row>
    <row r="388" spans="1:48">
      <c r="A388" s="26">
        <v>7</v>
      </c>
      <c r="B388" s="26">
        <f>MONTH('Report Inputs'!$B$2)</f>
        <v>11</v>
      </c>
      <c r="C388" s="26">
        <f>YEAR('Report Inputs'!$B$2)</f>
        <v>2015</v>
      </c>
      <c r="D388" s="26">
        <v>66571</v>
      </c>
      <c r="F388" s="26" t="s">
        <v>65</v>
      </c>
      <c r="G388" s="26" t="s">
        <v>66</v>
      </c>
      <c r="H388" s="26" t="s">
        <v>67</v>
      </c>
      <c r="I388" s="26" t="s">
        <v>68</v>
      </c>
      <c r="J388" s="26" t="s">
        <v>69</v>
      </c>
      <c r="K388" s="26">
        <v>713</v>
      </c>
      <c r="L388" s="26" t="s">
        <v>70</v>
      </c>
      <c r="M388" s="26">
        <v>713</v>
      </c>
      <c r="N388" s="26" t="s">
        <v>71</v>
      </c>
      <c r="O388" s="26" t="s">
        <v>72</v>
      </c>
      <c r="P388" s="26">
        <v>45</v>
      </c>
      <c r="Q388" s="27">
        <v>20380</v>
      </c>
      <c r="R388" s="26">
        <v>0</v>
      </c>
      <c r="S388" s="26" t="s">
        <v>941</v>
      </c>
      <c r="T388" s="26" t="s">
        <v>80</v>
      </c>
      <c r="U388" s="26" t="str">
        <f t="shared" ref="U388:U445" si="147">IF(V388&gt;0,"PR","SI")</f>
        <v>PR</v>
      </c>
      <c r="V388" s="26">
        <f t="shared" si="146"/>
        <v>30</v>
      </c>
      <c r="W388" s="26" t="s">
        <v>980</v>
      </c>
      <c r="X388" s="26">
        <v>5</v>
      </c>
      <c r="Y388" s="26" t="s">
        <v>74</v>
      </c>
      <c r="Z388" s="26" t="s">
        <v>75</v>
      </c>
      <c r="AA388" s="28">
        <f t="shared" si="144"/>
        <v>1.17</v>
      </c>
      <c r="AB388" s="28">
        <f t="shared" si="138"/>
        <v>31.896000000000001</v>
      </c>
      <c r="AC388" s="28">
        <f t="shared" si="139"/>
        <v>31.495000000000001</v>
      </c>
      <c r="AD388" s="28">
        <f t="shared" si="134"/>
        <v>0</v>
      </c>
      <c r="AE388" s="28">
        <f t="shared" si="140"/>
        <v>1.571</v>
      </c>
      <c r="AF388" s="28">
        <f t="shared" si="136"/>
        <v>8805.7099999999991</v>
      </c>
      <c r="AG388" s="28">
        <f t="shared" si="141"/>
        <v>6.18</v>
      </c>
      <c r="AH388" s="28">
        <f t="shared" si="142"/>
        <v>516.98400000000004</v>
      </c>
      <c r="AI388" s="28">
        <f t="shared" si="137"/>
        <v>0</v>
      </c>
      <c r="AJ388" s="28">
        <f t="shared" si="129"/>
        <v>8282.5460000000003</v>
      </c>
      <c r="AK388" s="30">
        <f>'Report Inputs'!$F$2</f>
        <v>55.9</v>
      </c>
      <c r="AL388" s="28">
        <f>'Report Inputs'!$E$2</f>
        <v>1080</v>
      </c>
      <c r="AM388" s="28">
        <f t="shared" si="143"/>
        <v>325.66899999999998</v>
      </c>
      <c r="AN388" s="26" t="s">
        <v>744</v>
      </c>
      <c r="AS388" s="26" t="s">
        <v>76</v>
      </c>
      <c r="AT388" s="26" t="s">
        <v>77</v>
      </c>
      <c r="AU388" s="26" t="s">
        <v>78</v>
      </c>
      <c r="AV388" s="31">
        <f t="shared" ca="1" si="145"/>
        <v>42376.365371064814</v>
      </c>
    </row>
    <row r="389" spans="1:48">
      <c r="A389" s="26">
        <v>7</v>
      </c>
      <c r="B389" s="26">
        <f>MONTH('Report Inputs'!$B$2)</f>
        <v>11</v>
      </c>
      <c r="C389" s="26">
        <f>YEAR('Report Inputs'!$B$2)</f>
        <v>2015</v>
      </c>
      <c r="D389" s="26">
        <v>66571</v>
      </c>
      <c r="F389" s="26" t="s">
        <v>65</v>
      </c>
      <c r="G389" s="26" t="s">
        <v>66</v>
      </c>
      <c r="H389" s="26" t="s">
        <v>67</v>
      </c>
      <c r="I389" s="26" t="s">
        <v>68</v>
      </c>
      <c r="J389" s="26" t="s">
        <v>69</v>
      </c>
      <c r="K389" s="26">
        <v>713</v>
      </c>
      <c r="L389" s="26" t="s">
        <v>70</v>
      </c>
      <c r="M389" s="26">
        <v>713</v>
      </c>
      <c r="N389" s="26" t="s">
        <v>71</v>
      </c>
      <c r="O389" s="26" t="s">
        <v>72</v>
      </c>
      <c r="P389" s="26">
        <v>45</v>
      </c>
      <c r="Q389" s="27">
        <v>20381</v>
      </c>
      <c r="R389" s="26">
        <v>0</v>
      </c>
      <c r="S389" s="26" t="s">
        <v>940</v>
      </c>
      <c r="T389" s="26" t="s">
        <v>80</v>
      </c>
      <c r="U389" s="26" t="str">
        <f t="shared" si="147"/>
        <v>PR</v>
      </c>
      <c r="V389" s="26">
        <f t="shared" si="146"/>
        <v>30</v>
      </c>
      <c r="W389" s="26" t="s">
        <v>980</v>
      </c>
      <c r="X389" s="26">
        <v>5</v>
      </c>
      <c r="Y389" s="26" t="s">
        <v>74</v>
      </c>
      <c r="Z389" s="26" t="s">
        <v>75</v>
      </c>
      <c r="AA389" s="28">
        <f t="shared" si="144"/>
        <v>0.38600000000000001</v>
      </c>
      <c r="AB389" s="28">
        <f t="shared" si="138"/>
        <v>9.8119999999999994</v>
      </c>
      <c r="AC389" s="28">
        <f t="shared" si="139"/>
        <v>9.7110000000000003</v>
      </c>
      <c r="AD389" s="28">
        <f t="shared" si="134"/>
        <v>0</v>
      </c>
      <c r="AE389" s="28">
        <f t="shared" si="140"/>
        <v>0.48699999999999999</v>
      </c>
      <c r="AF389" s="28">
        <f t="shared" si="136"/>
        <v>2806.43</v>
      </c>
      <c r="AG389" s="28">
        <f t="shared" si="141"/>
        <v>1.9</v>
      </c>
      <c r="AH389" s="28">
        <v>256</v>
      </c>
      <c r="AI389" s="28">
        <f t="shared" si="137"/>
        <v>0</v>
      </c>
      <c r="AJ389" s="28">
        <f t="shared" si="129"/>
        <v>2547.7179999999998</v>
      </c>
      <c r="AK389" s="30">
        <f>'Report Inputs'!$F$2</f>
        <v>55.9</v>
      </c>
      <c r="AL389" s="28">
        <f>'Report Inputs'!$E$2</f>
        <v>1080</v>
      </c>
      <c r="AM389" s="28">
        <f t="shared" si="143"/>
        <v>100.176</v>
      </c>
      <c r="AN389" s="26" t="s">
        <v>744</v>
      </c>
      <c r="AS389" s="26" t="s">
        <v>76</v>
      </c>
      <c r="AT389" s="26" t="s">
        <v>77</v>
      </c>
      <c r="AU389" s="26" t="s">
        <v>78</v>
      </c>
      <c r="AV389" s="31">
        <f t="shared" ca="1" si="145"/>
        <v>42376.365371064814</v>
      </c>
    </row>
    <row r="390" spans="1:48">
      <c r="A390" s="26">
        <v>7</v>
      </c>
      <c r="B390" s="26">
        <f>MONTH('Report Inputs'!$B$2)</f>
        <v>11</v>
      </c>
      <c r="C390" s="26">
        <f>YEAR('Report Inputs'!$B$2)</f>
        <v>2015</v>
      </c>
      <c r="D390" s="26">
        <v>66571</v>
      </c>
      <c r="F390" s="26" t="s">
        <v>65</v>
      </c>
      <c r="G390" s="26" t="s">
        <v>66</v>
      </c>
      <c r="H390" s="26" t="s">
        <v>67</v>
      </c>
      <c r="I390" s="26" t="s">
        <v>68</v>
      </c>
      <c r="J390" s="26" t="s">
        <v>69</v>
      </c>
      <c r="K390" s="26">
        <v>713</v>
      </c>
      <c r="L390" s="26" t="s">
        <v>70</v>
      </c>
      <c r="M390" s="26">
        <v>713</v>
      </c>
      <c r="N390" s="26" t="s">
        <v>71</v>
      </c>
      <c r="O390" s="26" t="s">
        <v>72</v>
      </c>
      <c r="P390" s="26">
        <v>45</v>
      </c>
      <c r="Q390" s="27">
        <v>20382</v>
      </c>
      <c r="R390" s="26">
        <v>0</v>
      </c>
      <c r="S390" s="26" t="s">
        <v>943</v>
      </c>
      <c r="T390" s="26" t="s">
        <v>80</v>
      </c>
      <c r="U390" s="26" t="str">
        <f t="shared" si="147"/>
        <v>PR</v>
      </c>
      <c r="V390" s="26">
        <f t="shared" si="146"/>
        <v>30</v>
      </c>
      <c r="W390" s="26" t="s">
        <v>980</v>
      </c>
      <c r="X390" s="26">
        <v>5</v>
      </c>
      <c r="Y390" s="26" t="s">
        <v>74</v>
      </c>
      <c r="Z390" s="26" t="s">
        <v>75</v>
      </c>
      <c r="AA390" s="28">
        <f t="shared" si="144"/>
        <v>0.502</v>
      </c>
      <c r="AB390" s="28">
        <f t="shared" si="138"/>
        <v>13.99</v>
      </c>
      <c r="AC390" s="28">
        <f t="shared" si="139"/>
        <v>13.804</v>
      </c>
      <c r="AD390" s="28">
        <f t="shared" si="134"/>
        <v>0</v>
      </c>
      <c r="AE390" s="28">
        <f t="shared" si="140"/>
        <v>0.68799999999999994</v>
      </c>
      <c r="AF390" s="28">
        <f t="shared" si="136"/>
        <v>3941.74</v>
      </c>
      <c r="AG390" s="28">
        <f t="shared" si="141"/>
        <v>2.71</v>
      </c>
      <c r="AH390" s="28">
        <f t="shared" si="142"/>
        <v>306.04700000000003</v>
      </c>
      <c r="AI390" s="28">
        <f t="shared" si="137"/>
        <v>0</v>
      </c>
      <c r="AJ390" s="28">
        <f t="shared" si="129"/>
        <v>3632.9830000000002</v>
      </c>
      <c r="AK390" s="30">
        <f>'Report Inputs'!$F$2</f>
        <v>55.9</v>
      </c>
      <c r="AL390" s="28">
        <f>'Report Inputs'!$E$2</f>
        <v>1080</v>
      </c>
      <c r="AM390" s="28">
        <f t="shared" si="143"/>
        <v>142.84899999999999</v>
      </c>
      <c r="AN390" s="26" t="s">
        <v>744</v>
      </c>
      <c r="AS390" s="26" t="s">
        <v>76</v>
      </c>
      <c r="AT390" s="26" t="s">
        <v>77</v>
      </c>
      <c r="AU390" s="26" t="s">
        <v>78</v>
      </c>
      <c r="AV390" s="31">
        <f t="shared" ca="1" si="145"/>
        <v>42376.365371064814</v>
      </c>
    </row>
    <row r="391" spans="1:48">
      <c r="A391" s="26">
        <v>7</v>
      </c>
      <c r="B391" s="26">
        <f>MONTH('Report Inputs'!$B$2)</f>
        <v>11</v>
      </c>
      <c r="C391" s="26">
        <f>YEAR('Report Inputs'!$B$2)</f>
        <v>2015</v>
      </c>
      <c r="D391" s="26">
        <v>66571</v>
      </c>
      <c r="F391" s="26" t="s">
        <v>65</v>
      </c>
      <c r="G391" s="26" t="s">
        <v>66</v>
      </c>
      <c r="H391" s="26" t="s">
        <v>67</v>
      </c>
      <c r="I391" s="26" t="s">
        <v>68</v>
      </c>
      <c r="J391" s="26" t="s">
        <v>69</v>
      </c>
      <c r="K391" s="26">
        <v>713</v>
      </c>
      <c r="L391" s="26" t="s">
        <v>70</v>
      </c>
      <c r="M391" s="26">
        <v>713</v>
      </c>
      <c r="N391" s="26" t="s">
        <v>71</v>
      </c>
      <c r="O391" s="26" t="s">
        <v>72</v>
      </c>
      <c r="P391" s="26">
        <v>45</v>
      </c>
      <c r="Q391" s="27">
        <v>20396</v>
      </c>
      <c r="R391" s="26">
        <v>0</v>
      </c>
      <c r="S391" s="26" t="s">
        <v>898</v>
      </c>
      <c r="T391" s="26" t="s">
        <v>80</v>
      </c>
      <c r="U391" s="26" t="str">
        <f t="shared" si="147"/>
        <v>PR</v>
      </c>
      <c r="V391" s="26">
        <f t="shared" si="146"/>
        <v>30</v>
      </c>
      <c r="W391" s="26" t="s">
        <v>90</v>
      </c>
      <c r="X391" s="26">
        <v>9</v>
      </c>
      <c r="Y391" s="26" t="s">
        <v>74</v>
      </c>
      <c r="Z391" s="26" t="s">
        <v>75</v>
      </c>
      <c r="AA391" s="28">
        <f t="shared" si="144"/>
        <v>0.72299999999999998</v>
      </c>
      <c r="AB391" s="28">
        <f t="shared" si="138"/>
        <v>1.0069999999999999</v>
      </c>
      <c r="AC391" s="28">
        <f t="shared" si="139"/>
        <v>1.484</v>
      </c>
      <c r="AD391" s="28">
        <f t="shared" si="134"/>
        <v>-1</v>
      </c>
      <c r="AE391" s="28">
        <f t="shared" si="140"/>
        <v>0.246</v>
      </c>
      <c r="AF391" s="28">
        <f t="shared" si="136"/>
        <v>4279.4399999999996</v>
      </c>
      <c r="AG391" s="28">
        <f t="shared" si="141"/>
        <v>7.0000000000000007E-2</v>
      </c>
      <c r="AH391" s="28">
        <v>388</v>
      </c>
      <c r="AI391" s="28">
        <f t="shared" si="137"/>
        <v>0</v>
      </c>
      <c r="AJ391" s="28">
        <f t="shared" ref="AJ391:AJ399" si="148">IF(ISNA(VLOOKUP($Q391,data,8,FALSE)),0,VLOOKUP($Q391,data,8,FALSE))</f>
        <v>3890.7869999999998</v>
      </c>
      <c r="AK391" s="30">
        <f>'Report Inputs'!$F$2</f>
        <v>55.9</v>
      </c>
      <c r="AL391" s="28">
        <f>'Report Inputs'!$E$2</f>
        <v>1080</v>
      </c>
      <c r="AM391" s="28">
        <f t="shared" si="143"/>
        <v>192.10300000000001</v>
      </c>
      <c r="AN391" s="26" t="s">
        <v>744</v>
      </c>
      <c r="AS391" s="26" t="s">
        <v>76</v>
      </c>
      <c r="AT391" s="26" t="s">
        <v>77</v>
      </c>
      <c r="AU391" s="26" t="s">
        <v>78</v>
      </c>
      <c r="AV391" s="31">
        <f t="shared" ca="1" si="145"/>
        <v>42376.365371064814</v>
      </c>
    </row>
    <row r="392" spans="1:48">
      <c r="A392" s="26">
        <v>7</v>
      </c>
      <c r="B392" s="26">
        <f>MONTH('Report Inputs'!$B$2)</f>
        <v>11</v>
      </c>
      <c r="C392" s="26">
        <f>YEAR('Report Inputs'!$B$2)</f>
        <v>2015</v>
      </c>
      <c r="D392" s="26">
        <v>66571</v>
      </c>
      <c r="F392" s="26" t="s">
        <v>65</v>
      </c>
      <c r="G392" s="26" t="s">
        <v>66</v>
      </c>
      <c r="H392" s="26" t="s">
        <v>67</v>
      </c>
      <c r="I392" s="26" t="s">
        <v>68</v>
      </c>
      <c r="J392" s="26" t="s">
        <v>69</v>
      </c>
      <c r="K392" s="26">
        <v>713</v>
      </c>
      <c r="L392" s="26" t="s">
        <v>70</v>
      </c>
      <c r="M392" s="26">
        <v>713</v>
      </c>
      <c r="N392" s="26" t="s">
        <v>71</v>
      </c>
      <c r="O392" s="26" t="s">
        <v>72</v>
      </c>
      <c r="P392" s="26">
        <v>45</v>
      </c>
      <c r="Q392" s="27">
        <v>20397</v>
      </c>
      <c r="R392" s="26">
        <v>0</v>
      </c>
      <c r="S392" s="26" t="s">
        <v>875</v>
      </c>
      <c r="T392" s="26" t="s">
        <v>80</v>
      </c>
      <c r="U392" s="26" t="str">
        <f t="shared" si="147"/>
        <v>PR</v>
      </c>
      <c r="V392" s="26">
        <f t="shared" si="146"/>
        <v>30</v>
      </c>
      <c r="W392" s="26" t="s">
        <v>90</v>
      </c>
      <c r="X392" s="26">
        <v>9</v>
      </c>
      <c r="Y392" s="26" t="s">
        <v>74</v>
      </c>
      <c r="Z392" s="26" t="s">
        <v>75</v>
      </c>
      <c r="AA392" s="28">
        <f t="shared" si="144"/>
        <v>1.181</v>
      </c>
      <c r="AB392" s="28">
        <f t="shared" si="138"/>
        <v>1.6819999999999999</v>
      </c>
      <c r="AC392" s="28">
        <f t="shared" si="139"/>
        <v>2.456</v>
      </c>
      <c r="AD392" s="28">
        <f t="shared" si="134"/>
        <v>-1</v>
      </c>
      <c r="AE392" s="28">
        <f t="shared" si="140"/>
        <v>0.40699999999999997</v>
      </c>
      <c r="AF392" s="28">
        <f t="shared" si="136"/>
        <v>7007.98</v>
      </c>
      <c r="AG392" s="28">
        <f t="shared" si="141"/>
        <v>0.11</v>
      </c>
      <c r="AH392" s="28">
        <f t="shared" si="142"/>
        <v>506.995</v>
      </c>
      <c r="AI392" s="28">
        <f t="shared" si="137"/>
        <v>0</v>
      </c>
      <c r="AJ392" s="28">
        <f t="shared" si="148"/>
        <v>6500.875</v>
      </c>
      <c r="AK392" s="30">
        <f>'Report Inputs'!$F$2</f>
        <v>55.9</v>
      </c>
      <c r="AL392" s="28">
        <f>'Report Inputs'!$E$2</f>
        <v>1080</v>
      </c>
      <c r="AM392" s="28">
        <f t="shared" si="143"/>
        <v>320.971</v>
      </c>
      <c r="AN392" s="26" t="s">
        <v>744</v>
      </c>
      <c r="AS392" s="26" t="s">
        <v>76</v>
      </c>
      <c r="AT392" s="26" t="s">
        <v>77</v>
      </c>
      <c r="AU392" s="26" t="s">
        <v>78</v>
      </c>
      <c r="AV392" s="31">
        <f t="shared" ca="1" si="145"/>
        <v>42376.365371064814</v>
      </c>
    </row>
    <row r="393" spans="1:48">
      <c r="A393" s="26">
        <v>7</v>
      </c>
      <c r="B393" s="26">
        <f>MONTH('Report Inputs'!$B$2)</f>
        <v>11</v>
      </c>
      <c r="C393" s="26">
        <f>YEAR('Report Inputs'!$B$2)</f>
        <v>2015</v>
      </c>
      <c r="D393" s="26">
        <v>66571</v>
      </c>
      <c r="F393" s="26" t="s">
        <v>65</v>
      </c>
      <c r="G393" s="26" t="s">
        <v>66</v>
      </c>
      <c r="H393" s="26" t="s">
        <v>67</v>
      </c>
      <c r="I393" s="26" t="s">
        <v>68</v>
      </c>
      <c r="J393" s="26" t="s">
        <v>69</v>
      </c>
      <c r="K393" s="26">
        <v>713</v>
      </c>
      <c r="L393" s="26" t="s">
        <v>70</v>
      </c>
      <c r="M393" s="26">
        <v>713</v>
      </c>
      <c r="N393" s="26" t="s">
        <v>71</v>
      </c>
      <c r="O393" s="26" t="s">
        <v>72</v>
      </c>
      <c r="P393" s="26">
        <v>45</v>
      </c>
      <c r="Q393" s="27">
        <v>20566</v>
      </c>
      <c r="R393" s="26">
        <v>0</v>
      </c>
      <c r="S393" s="26" t="s">
        <v>893</v>
      </c>
      <c r="T393" s="26" t="s">
        <v>80</v>
      </c>
      <c r="U393" s="26" t="str">
        <f t="shared" si="147"/>
        <v>PR</v>
      </c>
      <c r="V393" s="26">
        <f t="shared" si="146"/>
        <v>30</v>
      </c>
      <c r="W393" s="26" t="s">
        <v>86</v>
      </c>
      <c r="X393" s="26">
        <v>16</v>
      </c>
      <c r="Y393" s="26" t="s">
        <v>74</v>
      </c>
      <c r="Z393" s="26" t="s">
        <v>75</v>
      </c>
      <c r="AA393" s="28">
        <f t="shared" si="144"/>
        <v>0.436</v>
      </c>
      <c r="AB393" s="28">
        <f t="shared" si="138"/>
        <v>1.5269999999999999</v>
      </c>
      <c r="AC393" s="28">
        <f t="shared" si="139"/>
        <v>1.72</v>
      </c>
      <c r="AD393" s="28">
        <f t="shared" si="134"/>
        <v>0</v>
      </c>
      <c r="AE393" s="28">
        <f t="shared" si="140"/>
        <v>0.24299999999999999</v>
      </c>
      <c r="AF393" s="28">
        <f t="shared" si="136"/>
        <v>3825.19</v>
      </c>
      <c r="AG393" s="28">
        <f t="shared" si="141"/>
        <v>0.19</v>
      </c>
      <c r="AH393" s="28">
        <f t="shared" si="142"/>
        <v>355.30900000000003</v>
      </c>
      <c r="AI393" s="28">
        <f t="shared" si="137"/>
        <v>0</v>
      </c>
      <c r="AJ393" s="28">
        <f t="shared" si="148"/>
        <v>3469.6909999999998</v>
      </c>
      <c r="AK393" s="30">
        <f>'Report Inputs'!$F$2</f>
        <v>55.9</v>
      </c>
      <c r="AL393" s="28">
        <f>'Report Inputs'!$E$2</f>
        <v>1080</v>
      </c>
      <c r="AM393" s="28">
        <f t="shared" si="143"/>
        <v>131.892</v>
      </c>
      <c r="AN393" s="26" t="s">
        <v>744</v>
      </c>
      <c r="AS393" s="26" t="s">
        <v>76</v>
      </c>
      <c r="AT393" s="26" t="s">
        <v>77</v>
      </c>
      <c r="AU393" s="26" t="s">
        <v>78</v>
      </c>
      <c r="AV393" s="31">
        <f t="shared" ca="1" si="145"/>
        <v>42376.365371064814</v>
      </c>
    </row>
    <row r="394" spans="1:48">
      <c r="A394" s="26">
        <v>7</v>
      </c>
      <c r="B394" s="26">
        <f>MONTH('Report Inputs'!$B$2)</f>
        <v>11</v>
      </c>
      <c r="C394" s="26">
        <f>YEAR('Report Inputs'!$B$2)</f>
        <v>2015</v>
      </c>
      <c r="D394" s="26">
        <v>66571</v>
      </c>
      <c r="F394" s="26" t="s">
        <v>65</v>
      </c>
      <c r="G394" s="26" t="s">
        <v>66</v>
      </c>
      <c r="H394" s="26" t="s">
        <v>67</v>
      </c>
      <c r="I394" s="26" t="s">
        <v>68</v>
      </c>
      <c r="J394" s="26" t="s">
        <v>69</v>
      </c>
      <c r="K394" s="26">
        <v>713</v>
      </c>
      <c r="L394" s="26" t="s">
        <v>70</v>
      </c>
      <c r="M394" s="26">
        <v>713</v>
      </c>
      <c r="N394" s="26" t="s">
        <v>71</v>
      </c>
      <c r="O394" s="26" t="s">
        <v>72</v>
      </c>
      <c r="P394" s="26">
        <v>45</v>
      </c>
      <c r="Q394" s="27">
        <v>20567</v>
      </c>
      <c r="R394" s="26">
        <v>0</v>
      </c>
      <c r="S394" s="26" t="s">
        <v>902</v>
      </c>
      <c r="T394" s="26" t="s">
        <v>80</v>
      </c>
      <c r="U394" s="26" t="str">
        <f t="shared" si="147"/>
        <v>PR</v>
      </c>
      <c r="V394" s="26">
        <f t="shared" si="146"/>
        <v>30</v>
      </c>
      <c r="W394" s="26" t="s">
        <v>86</v>
      </c>
      <c r="X394" s="26">
        <v>16</v>
      </c>
      <c r="Y394" s="26" t="s">
        <v>74</v>
      </c>
      <c r="Z394" s="26" t="s">
        <v>75</v>
      </c>
      <c r="AA394" s="28">
        <f t="shared" si="144"/>
        <v>2.3E-2</v>
      </c>
      <c r="AB394" s="28">
        <f t="shared" si="138"/>
        <v>0.09</v>
      </c>
      <c r="AC394" s="28">
        <f t="shared" si="139"/>
        <v>9.9000000000000005E-2</v>
      </c>
      <c r="AD394" s="28">
        <f t="shared" si="134"/>
        <v>0</v>
      </c>
      <c r="AE394" s="28">
        <f t="shared" si="140"/>
        <v>1.4E-2</v>
      </c>
      <c r="AF394" s="28">
        <f t="shared" si="136"/>
        <v>637.04</v>
      </c>
      <c r="AG394" s="28">
        <f t="shared" si="141"/>
        <v>0.01</v>
      </c>
      <c r="AH394" s="28">
        <f t="shared" si="142"/>
        <v>432.98700000000002</v>
      </c>
      <c r="AI394" s="28">
        <f t="shared" si="137"/>
        <v>0</v>
      </c>
      <c r="AJ394" s="28">
        <f t="shared" si="148"/>
        <v>204.04300000000001</v>
      </c>
      <c r="AL394" s="28">
        <f>'Report Inputs'!$E$2</f>
        <v>1080</v>
      </c>
      <c r="AM394" s="28">
        <f t="shared" si="143"/>
        <v>7.7560000000000002</v>
      </c>
      <c r="AN394" s="26" t="s">
        <v>744</v>
      </c>
      <c r="AS394" s="26" t="s">
        <v>76</v>
      </c>
      <c r="AT394" s="26" t="s">
        <v>77</v>
      </c>
      <c r="AU394" s="26" t="s">
        <v>78</v>
      </c>
      <c r="AV394" s="31">
        <f t="shared" ca="1" si="145"/>
        <v>42376.365371064814</v>
      </c>
    </row>
    <row r="395" spans="1:48">
      <c r="A395" s="26">
        <v>7</v>
      </c>
      <c r="B395" s="26">
        <f>MONTH('Report Inputs'!$B$2)</f>
        <v>11</v>
      </c>
      <c r="C395" s="26">
        <f>YEAR('Report Inputs'!$B$2)</f>
        <v>2015</v>
      </c>
      <c r="D395" s="26">
        <v>66571</v>
      </c>
      <c r="F395" s="26" t="s">
        <v>65</v>
      </c>
      <c r="G395" s="26" t="s">
        <v>66</v>
      </c>
      <c r="H395" s="26" t="s">
        <v>67</v>
      </c>
      <c r="I395" s="26" t="s">
        <v>68</v>
      </c>
      <c r="J395" s="26" t="s">
        <v>69</v>
      </c>
      <c r="K395" s="26">
        <v>713</v>
      </c>
      <c r="L395" s="26" t="s">
        <v>70</v>
      </c>
      <c r="M395" s="26">
        <v>713</v>
      </c>
      <c r="N395" s="26" t="s">
        <v>71</v>
      </c>
      <c r="O395" s="26" t="s">
        <v>72</v>
      </c>
      <c r="P395" s="26">
        <v>45</v>
      </c>
      <c r="Q395" s="27">
        <v>20568</v>
      </c>
      <c r="R395" s="26">
        <v>0</v>
      </c>
      <c r="S395" s="26" t="s">
        <v>906</v>
      </c>
      <c r="T395" s="26" t="s">
        <v>80</v>
      </c>
      <c r="U395" s="26" t="str">
        <f t="shared" si="147"/>
        <v>PR</v>
      </c>
      <c r="V395" s="26">
        <f t="shared" si="146"/>
        <v>30</v>
      </c>
      <c r="W395" s="26" t="s">
        <v>86</v>
      </c>
      <c r="X395" s="26">
        <v>16</v>
      </c>
      <c r="Y395" s="26" t="s">
        <v>74</v>
      </c>
      <c r="Z395" s="26" t="s">
        <v>75</v>
      </c>
      <c r="AA395" s="28">
        <f t="shared" si="144"/>
        <v>0.626</v>
      </c>
      <c r="AB395" s="28">
        <f t="shared" si="138"/>
        <v>2.4769999999999999</v>
      </c>
      <c r="AC395" s="28">
        <f t="shared" si="139"/>
        <v>2.7160000000000002</v>
      </c>
      <c r="AD395" s="28">
        <f t="shared" si="134"/>
        <v>0</v>
      </c>
      <c r="AE395" s="28">
        <f t="shared" si="140"/>
        <v>0.38700000000000001</v>
      </c>
      <c r="AF395" s="28">
        <f t="shared" si="136"/>
        <v>6080.1</v>
      </c>
      <c r="AG395" s="28">
        <f t="shared" si="141"/>
        <v>0.3</v>
      </c>
      <c r="AH395" s="28">
        <f t="shared" si="142"/>
        <v>453.16300000000001</v>
      </c>
      <c r="AI395" s="28">
        <f t="shared" si="137"/>
        <v>0</v>
      </c>
      <c r="AJ395" s="28">
        <f t="shared" si="148"/>
        <v>5626.6369999999997</v>
      </c>
      <c r="AK395" s="30">
        <f>'Report Inputs'!$F$2</f>
        <v>55.9</v>
      </c>
      <c r="AL395" s="28">
        <f>'Report Inputs'!$E$2</f>
        <v>1080</v>
      </c>
      <c r="AM395" s="28">
        <f t="shared" si="143"/>
        <v>213.88300000000001</v>
      </c>
      <c r="AN395" s="26" t="s">
        <v>744</v>
      </c>
      <c r="AS395" s="26" t="s">
        <v>76</v>
      </c>
      <c r="AT395" s="26" t="s">
        <v>77</v>
      </c>
      <c r="AU395" s="26" t="s">
        <v>78</v>
      </c>
      <c r="AV395" s="31">
        <f t="shared" ca="1" si="145"/>
        <v>42376.365371064814</v>
      </c>
    </row>
    <row r="396" spans="1:48">
      <c r="A396" s="26">
        <v>7</v>
      </c>
      <c r="B396" s="26">
        <f>MONTH('Report Inputs'!$B$2)</f>
        <v>11</v>
      </c>
      <c r="C396" s="26">
        <f>YEAR('Report Inputs'!$B$2)</f>
        <v>2015</v>
      </c>
      <c r="D396" s="26">
        <v>66571</v>
      </c>
      <c r="F396" s="26" t="s">
        <v>65</v>
      </c>
      <c r="G396" s="26" t="s">
        <v>66</v>
      </c>
      <c r="H396" s="26" t="s">
        <v>67</v>
      </c>
      <c r="I396" s="26" t="s">
        <v>68</v>
      </c>
      <c r="J396" s="26" t="s">
        <v>69</v>
      </c>
      <c r="K396" s="26">
        <v>713</v>
      </c>
      <c r="L396" s="26" t="s">
        <v>70</v>
      </c>
      <c r="M396" s="26">
        <v>713</v>
      </c>
      <c r="N396" s="26" t="s">
        <v>71</v>
      </c>
      <c r="O396" s="26" t="s">
        <v>72</v>
      </c>
      <c r="P396" s="26">
        <v>45</v>
      </c>
      <c r="Q396" s="27">
        <v>20573</v>
      </c>
      <c r="R396" s="26">
        <v>0</v>
      </c>
      <c r="S396" s="26" t="s">
        <v>891</v>
      </c>
      <c r="T396" s="26" t="s">
        <v>80</v>
      </c>
      <c r="U396" s="26" t="str">
        <f t="shared" si="147"/>
        <v>PR</v>
      </c>
      <c r="V396" s="26">
        <f t="shared" si="146"/>
        <v>30</v>
      </c>
      <c r="W396" s="26" t="s">
        <v>86</v>
      </c>
      <c r="X396" s="26">
        <v>16</v>
      </c>
      <c r="Y396" s="26" t="s">
        <v>74</v>
      </c>
      <c r="Z396" s="26" t="s">
        <v>75</v>
      </c>
      <c r="AA396" s="28">
        <f t="shared" si="144"/>
        <v>0.378</v>
      </c>
      <c r="AB396" s="28">
        <f t="shared" si="138"/>
        <v>1.351</v>
      </c>
      <c r="AC396" s="28">
        <f t="shared" si="139"/>
        <v>1.514</v>
      </c>
      <c r="AD396" s="28">
        <f t="shared" si="134"/>
        <v>1</v>
      </c>
      <c r="AE396" s="28">
        <f t="shared" si="140"/>
        <v>0.215</v>
      </c>
      <c r="AF396" s="28">
        <f t="shared" si="136"/>
        <v>3403.67</v>
      </c>
      <c r="AG396" s="28">
        <f t="shared" si="141"/>
        <v>0.17</v>
      </c>
      <c r="AH396" s="28">
        <v>338</v>
      </c>
      <c r="AI396" s="28">
        <f t="shared" si="137"/>
        <v>0</v>
      </c>
      <c r="AJ396" s="28">
        <f t="shared" si="148"/>
        <v>3066.4830000000002</v>
      </c>
      <c r="AK396" s="30">
        <f>'Report Inputs'!$F$2</f>
        <v>55.9</v>
      </c>
      <c r="AL396" s="28">
        <f>'Report Inputs'!$E$2</f>
        <v>1080</v>
      </c>
      <c r="AM396" s="28">
        <f t="shared" si="143"/>
        <v>116.566</v>
      </c>
      <c r="AN396" s="26" t="s">
        <v>744</v>
      </c>
      <c r="AS396" s="26" t="s">
        <v>76</v>
      </c>
      <c r="AT396" s="26" t="s">
        <v>77</v>
      </c>
      <c r="AU396" s="26" t="s">
        <v>78</v>
      </c>
      <c r="AV396" s="31">
        <f t="shared" ca="1" si="145"/>
        <v>42376.365371064814</v>
      </c>
    </row>
    <row r="397" spans="1:48">
      <c r="A397" s="26">
        <v>7</v>
      </c>
      <c r="B397" s="26">
        <f>MONTH('Report Inputs'!$B$2)</f>
        <v>11</v>
      </c>
      <c r="C397" s="26">
        <f>YEAR('Report Inputs'!$B$2)</f>
        <v>2015</v>
      </c>
      <c r="D397" s="26">
        <v>66571</v>
      </c>
      <c r="F397" s="26" t="s">
        <v>65</v>
      </c>
      <c r="G397" s="26" t="s">
        <v>66</v>
      </c>
      <c r="H397" s="26" t="s">
        <v>67</v>
      </c>
      <c r="I397" s="26" t="s">
        <v>68</v>
      </c>
      <c r="J397" s="26" t="s">
        <v>69</v>
      </c>
      <c r="K397" s="26">
        <v>713</v>
      </c>
      <c r="L397" s="26" t="s">
        <v>70</v>
      </c>
      <c r="M397" s="26">
        <v>713</v>
      </c>
      <c r="N397" s="26" t="s">
        <v>71</v>
      </c>
      <c r="O397" s="26" t="s">
        <v>72</v>
      </c>
      <c r="P397" s="26">
        <v>45</v>
      </c>
      <c r="Q397" s="27">
        <v>20574</v>
      </c>
      <c r="R397" s="26">
        <v>0</v>
      </c>
      <c r="S397" s="26" t="s">
        <v>894</v>
      </c>
      <c r="T397" s="26" t="s">
        <v>80</v>
      </c>
      <c r="U397" s="26" t="str">
        <f t="shared" si="147"/>
        <v>PR</v>
      </c>
      <c r="V397" s="26">
        <f t="shared" si="146"/>
        <v>30</v>
      </c>
      <c r="W397" s="26" t="s">
        <v>86</v>
      </c>
      <c r="X397" s="26">
        <v>16</v>
      </c>
      <c r="Y397" s="26" t="s">
        <v>74</v>
      </c>
      <c r="Z397" s="26" t="s">
        <v>75</v>
      </c>
      <c r="AA397" s="28">
        <f t="shared" si="144"/>
        <v>0.499</v>
      </c>
      <c r="AB397" s="28">
        <f t="shared" si="138"/>
        <v>1.883</v>
      </c>
      <c r="AC397" s="28">
        <f t="shared" si="139"/>
        <v>2.0870000000000002</v>
      </c>
      <c r="AD397" s="28">
        <f t="shared" si="134"/>
        <v>0</v>
      </c>
      <c r="AE397" s="28">
        <f t="shared" si="140"/>
        <v>0.29499999999999998</v>
      </c>
      <c r="AF397" s="28">
        <f t="shared" si="136"/>
        <v>4670.83</v>
      </c>
      <c r="AG397" s="28">
        <f t="shared" si="141"/>
        <v>0.23</v>
      </c>
      <c r="AH397" s="28">
        <f t="shared" si="142"/>
        <v>392.00700000000001</v>
      </c>
      <c r="AI397" s="28">
        <f t="shared" si="137"/>
        <v>0</v>
      </c>
      <c r="AJ397" s="28">
        <f t="shared" si="148"/>
        <v>4278.5929999999998</v>
      </c>
      <c r="AK397" s="30">
        <f>'Report Inputs'!$F$2</f>
        <v>55.9</v>
      </c>
      <c r="AL397" s="28">
        <f>'Report Inputs'!$E$2</f>
        <v>1080</v>
      </c>
      <c r="AM397" s="28">
        <f t="shared" si="143"/>
        <v>162.63999999999999</v>
      </c>
      <c r="AN397" s="26" t="s">
        <v>744</v>
      </c>
      <c r="AS397" s="26" t="s">
        <v>76</v>
      </c>
      <c r="AT397" s="26" t="s">
        <v>77</v>
      </c>
      <c r="AU397" s="26" t="s">
        <v>78</v>
      </c>
      <c r="AV397" s="31">
        <f t="shared" ca="1" si="145"/>
        <v>42376.365371064814</v>
      </c>
    </row>
    <row r="398" spans="1:48">
      <c r="A398" s="26">
        <v>7</v>
      </c>
      <c r="B398" s="26">
        <f>MONTH('Report Inputs'!$B$2)</f>
        <v>11</v>
      </c>
      <c r="C398" s="26">
        <f>YEAR('Report Inputs'!$B$2)</f>
        <v>2015</v>
      </c>
      <c r="D398" s="26">
        <v>66571</v>
      </c>
      <c r="F398" s="26" t="s">
        <v>65</v>
      </c>
      <c r="G398" s="26" t="s">
        <v>66</v>
      </c>
      <c r="H398" s="26" t="s">
        <v>67</v>
      </c>
      <c r="I398" s="26" t="s">
        <v>68</v>
      </c>
      <c r="J398" s="26" t="s">
        <v>69</v>
      </c>
      <c r="K398" s="26">
        <v>713</v>
      </c>
      <c r="L398" s="26" t="s">
        <v>70</v>
      </c>
      <c r="M398" s="26">
        <v>713</v>
      </c>
      <c r="N398" s="26" t="s">
        <v>71</v>
      </c>
      <c r="O398" s="26" t="s">
        <v>72</v>
      </c>
      <c r="P398" s="26">
        <v>45</v>
      </c>
      <c r="Q398" s="27">
        <v>20578</v>
      </c>
      <c r="R398" s="26">
        <v>0</v>
      </c>
      <c r="S398" s="26" t="s">
        <v>901</v>
      </c>
      <c r="T398" s="26" t="s">
        <v>80</v>
      </c>
      <c r="U398" s="26" t="str">
        <f t="shared" si="147"/>
        <v>PR</v>
      </c>
      <c r="V398" s="26">
        <f t="shared" si="146"/>
        <v>30</v>
      </c>
      <c r="W398" s="26" t="s">
        <v>86</v>
      </c>
      <c r="X398" s="26">
        <v>16</v>
      </c>
      <c r="Y398" s="26" t="s">
        <v>74</v>
      </c>
      <c r="Z398" s="26" t="s">
        <v>75</v>
      </c>
      <c r="AA398" s="28">
        <f t="shared" si="144"/>
        <v>0.55000000000000004</v>
      </c>
      <c r="AB398" s="28">
        <f t="shared" si="138"/>
        <v>2.113</v>
      </c>
      <c r="AC398" s="28">
        <f t="shared" si="139"/>
        <v>2.331</v>
      </c>
      <c r="AD398" s="28">
        <f t="shared" si="134"/>
        <v>-1</v>
      </c>
      <c r="AE398" s="28">
        <f t="shared" si="140"/>
        <v>0.33200000000000002</v>
      </c>
      <c r="AF398" s="28">
        <f t="shared" si="136"/>
        <v>5215.76</v>
      </c>
      <c r="AG398" s="28">
        <f t="shared" si="141"/>
        <v>0.26</v>
      </c>
      <c r="AH398" s="28">
        <f t="shared" si="142"/>
        <v>415.654</v>
      </c>
      <c r="AI398" s="28">
        <f t="shared" si="137"/>
        <v>0</v>
      </c>
      <c r="AJ398" s="28">
        <f t="shared" si="148"/>
        <v>4799.8459999999995</v>
      </c>
      <c r="AK398" s="30">
        <f>'Report Inputs'!$F$2</f>
        <v>55.9</v>
      </c>
      <c r="AL398" s="28">
        <f>'Report Inputs'!$E$2</f>
        <v>1080</v>
      </c>
      <c r="AM398" s="28">
        <f t="shared" si="143"/>
        <v>182.45500000000001</v>
      </c>
      <c r="AN398" s="26" t="s">
        <v>744</v>
      </c>
      <c r="AS398" s="26" t="s">
        <v>76</v>
      </c>
      <c r="AT398" s="26" t="s">
        <v>77</v>
      </c>
      <c r="AU398" s="26" t="s">
        <v>78</v>
      </c>
      <c r="AV398" s="31">
        <f t="shared" ca="1" si="145"/>
        <v>42376.365371064814</v>
      </c>
    </row>
    <row r="399" spans="1:48">
      <c r="A399" s="26">
        <v>7</v>
      </c>
      <c r="B399" s="26">
        <f>MONTH('Report Inputs'!$B$2)</f>
        <v>11</v>
      </c>
      <c r="C399" s="26">
        <f>YEAR('Report Inputs'!$B$2)</f>
        <v>2015</v>
      </c>
      <c r="D399" s="26">
        <v>66571</v>
      </c>
      <c r="F399" s="26" t="s">
        <v>65</v>
      </c>
      <c r="G399" s="26" t="s">
        <v>66</v>
      </c>
      <c r="H399" s="26" t="s">
        <v>67</v>
      </c>
      <c r="I399" s="26" t="s">
        <v>68</v>
      </c>
      <c r="J399" s="26" t="s">
        <v>69</v>
      </c>
      <c r="K399" s="26">
        <v>713</v>
      </c>
      <c r="L399" s="26" t="s">
        <v>70</v>
      </c>
      <c r="M399" s="26">
        <v>713</v>
      </c>
      <c r="N399" s="26" t="s">
        <v>71</v>
      </c>
      <c r="O399" s="26" t="s">
        <v>72</v>
      </c>
      <c r="P399" s="26">
        <v>45</v>
      </c>
      <c r="Q399" s="27">
        <v>20579</v>
      </c>
      <c r="R399" s="26">
        <v>0</v>
      </c>
      <c r="S399" s="26" t="s">
        <v>905</v>
      </c>
      <c r="T399" s="26" t="s">
        <v>80</v>
      </c>
      <c r="U399" s="26" t="str">
        <f t="shared" si="147"/>
        <v>PR</v>
      </c>
      <c r="V399" s="26">
        <f t="shared" si="146"/>
        <v>30</v>
      </c>
      <c r="W399" s="26" t="s">
        <v>86</v>
      </c>
      <c r="X399" s="26">
        <v>16</v>
      </c>
      <c r="Y399" s="26" t="s">
        <v>74</v>
      </c>
      <c r="Z399" s="26" t="s">
        <v>75</v>
      </c>
      <c r="AA399" s="28">
        <f t="shared" si="144"/>
        <v>0.39700000000000002</v>
      </c>
      <c r="AB399" s="28">
        <f t="shared" si="138"/>
        <v>1.4450000000000001</v>
      </c>
      <c r="AC399" s="28">
        <f t="shared" si="139"/>
        <v>1.6140000000000001</v>
      </c>
      <c r="AD399" s="28">
        <f t="shared" si="134"/>
        <v>1</v>
      </c>
      <c r="AE399" s="28">
        <f t="shared" si="140"/>
        <v>0.22800000000000001</v>
      </c>
      <c r="AF399" s="28">
        <f t="shared" si="136"/>
        <v>3630.28</v>
      </c>
      <c r="AG399" s="28">
        <f t="shared" ref="AG399" si="149">IF(ISNA(VLOOKUP($Q399,data,10,FALSE)),0,VLOOKUP($Q399,data,10,FALSE))</f>
        <v>0.18</v>
      </c>
      <c r="AH399" s="28">
        <f t="shared" si="142"/>
        <v>346.851</v>
      </c>
      <c r="AI399" s="28">
        <f t="shared" si="137"/>
        <v>0</v>
      </c>
      <c r="AJ399" s="28">
        <f t="shared" si="148"/>
        <v>3283.2489999999998</v>
      </c>
      <c r="AK399" s="30">
        <f>'Report Inputs'!$F$2</f>
        <v>55.9</v>
      </c>
      <c r="AL399" s="28">
        <f>'Report Inputs'!$E$2</f>
        <v>1080</v>
      </c>
      <c r="AM399" s="28">
        <f t="shared" si="143"/>
        <v>124.804</v>
      </c>
      <c r="AN399" s="26" t="s">
        <v>744</v>
      </c>
      <c r="AS399" s="26" t="s">
        <v>76</v>
      </c>
      <c r="AT399" s="26" t="s">
        <v>77</v>
      </c>
      <c r="AU399" s="26" t="s">
        <v>78</v>
      </c>
      <c r="AV399" s="31">
        <f t="shared" ca="1" si="145"/>
        <v>42376.365371064814</v>
      </c>
    </row>
    <row r="400" spans="1:48" s="32" customFormat="1">
      <c r="A400" s="32">
        <v>7</v>
      </c>
      <c r="B400" s="32">
        <f>MONTH('Report Inputs'!$B$2)</f>
        <v>11</v>
      </c>
      <c r="C400" s="32">
        <f>YEAR('Report Inputs'!$B$2)</f>
        <v>2015</v>
      </c>
      <c r="D400" s="32">
        <v>66571</v>
      </c>
      <c r="F400" s="32" t="s">
        <v>65</v>
      </c>
      <c r="G400" s="32" t="s">
        <v>66</v>
      </c>
      <c r="H400" s="32" t="s">
        <v>67</v>
      </c>
      <c r="I400" s="32" t="s">
        <v>68</v>
      </c>
      <c r="J400" s="32" t="s">
        <v>69</v>
      </c>
      <c r="K400" s="32">
        <v>713</v>
      </c>
      <c r="L400" s="32" t="s">
        <v>70</v>
      </c>
      <c r="M400" s="32">
        <v>713</v>
      </c>
      <c r="N400" s="32" t="s">
        <v>71</v>
      </c>
      <c r="O400" s="32" t="s">
        <v>72</v>
      </c>
      <c r="P400" s="32">
        <v>45</v>
      </c>
      <c r="Q400" s="33">
        <v>20580</v>
      </c>
      <c r="R400" s="32">
        <v>0</v>
      </c>
      <c r="S400" s="32" t="s">
        <v>969</v>
      </c>
      <c r="T400" s="32" t="s">
        <v>967</v>
      </c>
      <c r="U400" s="26" t="str">
        <f t="shared" si="147"/>
        <v>PR</v>
      </c>
      <c r="V400" s="32">
        <v>28</v>
      </c>
      <c r="W400" s="32" t="s">
        <v>86</v>
      </c>
      <c r="X400" s="32">
        <v>16</v>
      </c>
      <c r="Y400" s="32" t="s">
        <v>74</v>
      </c>
      <c r="Z400" s="32" t="s">
        <v>75</v>
      </c>
      <c r="AA400" s="29">
        <f>IF(ISNA(VLOOKUP($Q400,data,5,FALSE)),0,VLOOKUP($Q400,data,5,FALSE))*0.4</f>
        <v>0.39280000000000004</v>
      </c>
      <c r="AB400" s="29">
        <f>IF(ISNA(VLOOKUP($Q400,data,7,FALSE)),0,VLOOKUP($Q400,data,7,FALSE))*0.4</f>
        <v>1.3096000000000001</v>
      </c>
      <c r="AC400" s="29">
        <f>IF(ISNA(VLOOKUP($Q400,data,6,FALSE)),0,VLOOKUP($Q400,data,6,FALSE))*0.4</f>
        <v>1.4912000000000001</v>
      </c>
      <c r="AD400" s="29">
        <f t="shared" si="134"/>
        <v>0</v>
      </c>
      <c r="AE400" s="29">
        <f>IF(ISNA(VLOOKUP($Q400,data,13,FALSE)),0,VLOOKUP($Q400,data,13,FALSE))*0.4</f>
        <v>0.21120000000000003</v>
      </c>
      <c r="AF400" s="29">
        <f>IF(ISNA(VLOOKUP($Q400,data,9,FALSE)),0,VLOOKUP($Q400,data,9,FALSE))*0.4</f>
        <v>3199.576</v>
      </c>
      <c r="AG400" s="29">
        <f>IF(ISNA(VLOOKUP($Q400,data,10,FALSE)),0,VLOOKUP($Q400,data,10,FALSE))*0.4</f>
        <v>13.216000000000001</v>
      </c>
      <c r="AH400" s="29">
        <v>215</v>
      </c>
      <c r="AI400" s="29">
        <f t="shared" si="137"/>
        <v>0</v>
      </c>
      <c r="AJ400" s="29">
        <f>IF(ISNA(VLOOKUP($Q400,data,8,FALSE)),0,VLOOKUP($Q400,data,8,FALSE))*0.4</f>
        <v>2972.3532</v>
      </c>
      <c r="AK400" s="34">
        <f>'Report Inputs'!$F$2</f>
        <v>55.9</v>
      </c>
      <c r="AL400" s="29">
        <f>'Report Inputs'!$E$2</f>
        <v>1080</v>
      </c>
      <c r="AM400" s="29">
        <f>IF(ISNA(VLOOKUP($Q400,data,14,FALSE)),0,VLOOKUP($Q400,data,14,FALSE))*0.4</f>
        <v>112.98720000000002</v>
      </c>
      <c r="AN400" s="32" t="s">
        <v>744</v>
      </c>
      <c r="AS400" s="32" t="s">
        <v>76</v>
      </c>
      <c r="AT400" s="32" t="s">
        <v>77</v>
      </c>
      <c r="AU400" s="32" t="s">
        <v>78</v>
      </c>
      <c r="AV400" s="35">
        <f t="shared" ca="1" si="145"/>
        <v>42376.365371064814</v>
      </c>
    </row>
    <row r="401" spans="1:48" s="32" customFormat="1">
      <c r="A401" s="32">
        <v>7</v>
      </c>
      <c r="B401" s="32">
        <f>MONTH('Report Inputs'!$B$2)</f>
        <v>11</v>
      </c>
      <c r="C401" s="32">
        <f>YEAR('Report Inputs'!$B$2)</f>
        <v>2015</v>
      </c>
      <c r="D401" s="32">
        <v>66571</v>
      </c>
      <c r="F401" s="32" t="s">
        <v>65</v>
      </c>
      <c r="G401" s="32" t="s">
        <v>66</v>
      </c>
      <c r="H401" s="32" t="s">
        <v>67</v>
      </c>
      <c r="I401" s="32" t="s">
        <v>68</v>
      </c>
      <c r="J401" s="32" t="s">
        <v>69</v>
      </c>
      <c r="K401" s="32">
        <v>713</v>
      </c>
      <c r="L401" s="32" t="s">
        <v>70</v>
      </c>
      <c r="M401" s="32">
        <v>713</v>
      </c>
      <c r="N401" s="32" t="s">
        <v>71</v>
      </c>
      <c r="O401" s="32" t="s">
        <v>72</v>
      </c>
      <c r="P401" s="32">
        <v>45</v>
      </c>
      <c r="Q401" s="33">
        <v>20580</v>
      </c>
      <c r="R401" s="32">
        <v>0</v>
      </c>
      <c r="S401" s="32" t="s">
        <v>968</v>
      </c>
      <c r="T401" s="32" t="s">
        <v>727</v>
      </c>
      <c r="U401" s="26" t="str">
        <f t="shared" si="147"/>
        <v>PR</v>
      </c>
      <c r="V401" s="32">
        <v>28</v>
      </c>
      <c r="W401" s="32" t="s">
        <v>86</v>
      </c>
      <c r="X401" s="32">
        <v>16</v>
      </c>
      <c r="Y401" s="32" t="s">
        <v>74</v>
      </c>
      <c r="Z401" s="32" t="s">
        <v>75</v>
      </c>
      <c r="AA401" s="29">
        <f>IF(ISNA(VLOOKUP($Q401,data,5,FALSE)),0,VLOOKUP($Q401,data,5,FALSE))*0.6</f>
        <v>0.58919999999999995</v>
      </c>
      <c r="AB401" s="29">
        <f>IF(ISNA(VLOOKUP($Q401,data,7,FALSE)),0,VLOOKUP($Q401,data,7,FALSE))*0.6</f>
        <v>1.9643999999999999</v>
      </c>
      <c r="AC401" s="29">
        <f>IF(ISNA(VLOOKUP($Q401,data,6,FALSE)),0,VLOOKUP($Q401,data,6,FALSE))*0.6</f>
        <v>2.2368000000000001</v>
      </c>
      <c r="AD401" s="29">
        <f t="shared" si="134"/>
        <v>-1</v>
      </c>
      <c r="AE401" s="29">
        <f>IF(ISNA(VLOOKUP($Q401,data,13,FALSE)),0,VLOOKUP($Q401,data,13,FALSE))*0.6</f>
        <v>0.31680000000000003</v>
      </c>
      <c r="AF401" s="29">
        <f>IF(ISNA(VLOOKUP($Q401,data,9,FALSE)),0,VLOOKUP($Q401,data,9,FALSE))*0.6</f>
        <v>4799.3639999999996</v>
      </c>
      <c r="AG401" s="29">
        <f>IF(ISNA(VLOOKUP($Q401,data,10,FALSE)),0,VLOOKUP($Q401,data,10,FALSE))*0.6</f>
        <v>19.823999999999998</v>
      </c>
      <c r="AH401" s="29">
        <v>320</v>
      </c>
      <c r="AI401" s="29">
        <f t="shared" si="137"/>
        <v>0</v>
      </c>
      <c r="AJ401" s="29">
        <f>IF(ISNA(VLOOKUP($Q401,data,8,FALSE)),0,VLOOKUP($Q401,data,8,FALSE))*0.6</f>
        <v>4458.5297999999993</v>
      </c>
      <c r="AK401" s="34">
        <f>'Report Inputs'!$F$2</f>
        <v>55.9</v>
      </c>
      <c r="AL401" s="29">
        <f>'Report Inputs'!$E$2</f>
        <v>1080</v>
      </c>
      <c r="AM401" s="29">
        <f>IF(ISNA(VLOOKUP($Q401,data,14,FALSE)),0,VLOOKUP($Q401,data,14,FALSE))*0.6</f>
        <v>169.48080000000002</v>
      </c>
      <c r="AN401" s="32" t="s">
        <v>744</v>
      </c>
      <c r="AS401" s="32" t="s">
        <v>76</v>
      </c>
      <c r="AT401" s="32" t="s">
        <v>77</v>
      </c>
      <c r="AU401" s="32" t="s">
        <v>78</v>
      </c>
      <c r="AV401" s="35">
        <f t="shared" ca="1" si="145"/>
        <v>42376.365371064814</v>
      </c>
    </row>
    <row r="402" spans="1:48">
      <c r="A402" s="26">
        <v>7</v>
      </c>
      <c r="B402" s="26">
        <f>MONTH('Report Inputs'!$B$2)</f>
        <v>11</v>
      </c>
      <c r="C402" s="26">
        <f>YEAR('Report Inputs'!$B$2)</f>
        <v>2015</v>
      </c>
      <c r="D402" s="26">
        <v>66571</v>
      </c>
      <c r="F402" s="26" t="s">
        <v>65</v>
      </c>
      <c r="G402" s="26" t="s">
        <v>66</v>
      </c>
      <c r="H402" s="26" t="s">
        <v>67</v>
      </c>
      <c r="I402" s="26" t="s">
        <v>68</v>
      </c>
      <c r="J402" s="26" t="s">
        <v>69</v>
      </c>
      <c r="K402" s="26">
        <v>713</v>
      </c>
      <c r="L402" s="26" t="s">
        <v>70</v>
      </c>
      <c r="M402" s="26">
        <v>713</v>
      </c>
      <c r="N402" s="26" t="s">
        <v>71</v>
      </c>
      <c r="O402" s="26" t="s">
        <v>72</v>
      </c>
      <c r="P402" s="26">
        <v>45</v>
      </c>
      <c r="Q402" s="27">
        <v>20584</v>
      </c>
      <c r="R402" s="26">
        <v>0</v>
      </c>
      <c r="S402" s="26" t="s">
        <v>892</v>
      </c>
      <c r="T402" s="26" t="s">
        <v>80</v>
      </c>
      <c r="U402" s="26" t="str">
        <f t="shared" si="147"/>
        <v>PR</v>
      </c>
      <c r="V402" s="26">
        <f t="shared" si="146"/>
        <v>30</v>
      </c>
      <c r="W402" s="26" t="s">
        <v>86</v>
      </c>
      <c r="X402" s="26">
        <v>16</v>
      </c>
      <c r="Y402" s="26" t="s">
        <v>74</v>
      </c>
      <c r="Z402" s="26" t="s">
        <v>75</v>
      </c>
      <c r="AA402" s="28">
        <f t="shared" ref="AA402:AA445" si="150">IF(ISNA(VLOOKUP($Q402,data,5,FALSE)),0,VLOOKUP($Q402,data,5,FALSE))</f>
        <v>0.72</v>
      </c>
      <c r="AB402" s="28">
        <f t="shared" ref="AB402:AB445" si="151">IF(ISNA(VLOOKUP($Q402,data,7,FALSE)),0,VLOOKUP($Q402,data,7,FALSE))</f>
        <v>2.8010000000000002</v>
      </c>
      <c r="AC402" s="28">
        <f t="shared" ref="AC402:AC445" si="152">IF(ISNA(VLOOKUP($Q402,data,6,FALSE)),0,VLOOKUP($Q402,data,6,FALSE))</f>
        <v>3.081</v>
      </c>
      <c r="AD402" s="28">
        <f t="shared" si="134"/>
        <v>-1</v>
      </c>
      <c r="AE402" s="28">
        <f t="shared" ref="AE402:AE445" si="153">IF(ISNA(VLOOKUP($Q402,data,13,FALSE)),0,VLOOKUP($Q402,data,13,FALSE))</f>
        <v>0.44</v>
      </c>
      <c r="AF402" s="28">
        <f t="shared" ref="AF402:AF459" si="154">IF(ISNA(VLOOKUP($Q402,data,9,FALSE)),0,VLOOKUP($Q402,data,9,FALSE))</f>
        <v>6847.24</v>
      </c>
      <c r="AG402" s="28">
        <f t="shared" ref="AG402:AG459" si="155">IF(ISNA(VLOOKUP($Q402,data,10,FALSE)),0,VLOOKUP($Q402,data,10,FALSE))</f>
        <v>0.34</v>
      </c>
      <c r="AH402" s="28">
        <v>487</v>
      </c>
      <c r="AI402" s="28">
        <f t="shared" si="137"/>
        <v>0</v>
      </c>
      <c r="AJ402" s="28">
        <f t="shared" ref="AJ402:AJ459" si="156">IF(ISNA(VLOOKUP($Q402,data,8,FALSE)),0,VLOOKUP($Q402,data,8,FALSE))</f>
        <v>6360.4459999999999</v>
      </c>
      <c r="AK402" s="30">
        <f>'Report Inputs'!$F$2</f>
        <v>55.9</v>
      </c>
      <c r="AL402" s="28">
        <f>'Report Inputs'!$E$2</f>
        <v>1080</v>
      </c>
      <c r="AM402" s="28">
        <f t="shared" ref="AM402:AM459" si="157">IF(ISNA(VLOOKUP($Q402,data,14,FALSE)),0,VLOOKUP($Q402,data,14,FALSE))</f>
        <v>241.77799999999999</v>
      </c>
      <c r="AN402" s="26" t="s">
        <v>744</v>
      </c>
      <c r="AS402" s="26" t="s">
        <v>76</v>
      </c>
      <c r="AT402" s="26" t="s">
        <v>77</v>
      </c>
      <c r="AU402" s="26" t="s">
        <v>78</v>
      </c>
      <c r="AV402" s="31">
        <f t="shared" ca="1" si="145"/>
        <v>42376.365371064814</v>
      </c>
    </row>
    <row r="403" spans="1:48">
      <c r="A403" s="26">
        <v>7</v>
      </c>
      <c r="B403" s="26">
        <f>MONTH('Report Inputs'!$B$2)</f>
        <v>11</v>
      </c>
      <c r="C403" s="26">
        <f>YEAR('Report Inputs'!$B$2)</f>
        <v>2015</v>
      </c>
      <c r="D403" s="26">
        <v>66571</v>
      </c>
      <c r="F403" s="26" t="s">
        <v>65</v>
      </c>
      <c r="G403" s="26" t="s">
        <v>66</v>
      </c>
      <c r="H403" s="26" t="s">
        <v>67</v>
      </c>
      <c r="I403" s="26" t="s">
        <v>68</v>
      </c>
      <c r="J403" s="26" t="s">
        <v>69</v>
      </c>
      <c r="K403" s="26">
        <v>713</v>
      </c>
      <c r="L403" s="26" t="s">
        <v>70</v>
      </c>
      <c r="M403" s="26">
        <v>713</v>
      </c>
      <c r="N403" s="26" t="s">
        <v>71</v>
      </c>
      <c r="O403" s="26" t="s">
        <v>72</v>
      </c>
      <c r="P403" s="26">
        <v>45</v>
      </c>
      <c r="Q403" s="27">
        <v>20709</v>
      </c>
      <c r="R403" s="26">
        <v>0</v>
      </c>
      <c r="S403" s="26" t="s">
        <v>972</v>
      </c>
      <c r="T403" s="26" t="s">
        <v>80</v>
      </c>
      <c r="U403" s="26" t="str">
        <f t="shared" si="147"/>
        <v>PR</v>
      </c>
      <c r="V403" s="26">
        <f t="shared" si="146"/>
        <v>30</v>
      </c>
      <c r="W403" s="26" t="s">
        <v>88</v>
      </c>
      <c r="X403" s="26">
        <v>4</v>
      </c>
      <c r="Y403" s="26" t="s">
        <v>74</v>
      </c>
      <c r="Z403" s="26" t="s">
        <v>75</v>
      </c>
      <c r="AA403" s="28">
        <f t="shared" si="150"/>
        <v>0.54</v>
      </c>
      <c r="AB403" s="28">
        <f t="shared" si="151"/>
        <v>6.7160000000000002</v>
      </c>
      <c r="AC403" s="28">
        <f t="shared" si="152"/>
        <v>6.7969999999999997</v>
      </c>
      <c r="AD403" s="28">
        <f t="shared" si="134"/>
        <v>-1</v>
      </c>
      <c r="AE403" s="28">
        <f t="shared" si="153"/>
        <v>0.45900000000000002</v>
      </c>
      <c r="AF403" s="28">
        <f t="shared" si="154"/>
        <v>4464.37</v>
      </c>
      <c r="AG403" s="28">
        <f t="shared" si="155"/>
        <v>1.22</v>
      </c>
      <c r="AH403" s="28">
        <v>288</v>
      </c>
      <c r="AI403" s="28">
        <f t="shared" si="137"/>
        <v>0</v>
      </c>
      <c r="AJ403" s="28">
        <f t="shared" si="156"/>
        <v>4174.6109999999999</v>
      </c>
      <c r="AK403" s="30">
        <f>'Report Inputs'!$F$2</f>
        <v>55.9</v>
      </c>
      <c r="AL403" s="28">
        <f>'Report Inputs'!$E$2</f>
        <v>1080</v>
      </c>
      <c r="AM403" s="28">
        <f t="shared" si="157"/>
        <v>84.852000000000004</v>
      </c>
      <c r="AN403" s="26" t="s">
        <v>744</v>
      </c>
      <c r="AS403" s="26" t="s">
        <v>76</v>
      </c>
      <c r="AT403" s="26" t="s">
        <v>77</v>
      </c>
      <c r="AU403" s="26" t="s">
        <v>78</v>
      </c>
      <c r="AV403" s="31">
        <f t="shared" ca="1" si="145"/>
        <v>42376.365371064814</v>
      </c>
    </row>
    <row r="404" spans="1:48">
      <c r="A404" s="26">
        <v>7</v>
      </c>
      <c r="B404" s="26">
        <f>MONTH('Report Inputs'!$B$2)</f>
        <v>11</v>
      </c>
      <c r="C404" s="26">
        <f>YEAR('Report Inputs'!$B$2)</f>
        <v>2015</v>
      </c>
      <c r="D404" s="26">
        <v>66571</v>
      </c>
      <c r="F404" s="26" t="s">
        <v>65</v>
      </c>
      <c r="G404" s="26" t="s">
        <v>66</v>
      </c>
      <c r="H404" s="26" t="s">
        <v>67</v>
      </c>
      <c r="I404" s="26" t="s">
        <v>68</v>
      </c>
      <c r="J404" s="26" t="s">
        <v>69</v>
      </c>
      <c r="K404" s="26">
        <v>713</v>
      </c>
      <c r="L404" s="26" t="s">
        <v>70</v>
      </c>
      <c r="M404" s="26">
        <v>713</v>
      </c>
      <c r="N404" s="26" t="s">
        <v>71</v>
      </c>
      <c r="O404" s="26" t="s">
        <v>72</v>
      </c>
      <c r="P404" s="26">
        <v>45</v>
      </c>
      <c r="Q404" s="27">
        <v>20710</v>
      </c>
      <c r="R404" s="26">
        <v>0</v>
      </c>
      <c r="S404" s="26" t="s">
        <v>960</v>
      </c>
      <c r="T404" s="26" t="s">
        <v>80</v>
      </c>
      <c r="U404" s="26" t="str">
        <f t="shared" si="147"/>
        <v>PR</v>
      </c>
      <c r="V404" s="26">
        <f t="shared" si="146"/>
        <v>30</v>
      </c>
      <c r="W404" s="26" t="s">
        <v>88</v>
      </c>
      <c r="X404" s="26">
        <v>4</v>
      </c>
      <c r="Y404" s="26" t="s">
        <v>74</v>
      </c>
      <c r="Z404" s="26" t="s">
        <v>75</v>
      </c>
      <c r="AA404" s="28">
        <f t="shared" si="150"/>
        <v>0.73199999999999998</v>
      </c>
      <c r="AB404" s="28">
        <f t="shared" si="151"/>
        <v>9.0259999999999998</v>
      </c>
      <c r="AC404" s="28">
        <f t="shared" si="152"/>
        <v>9.1389999999999993</v>
      </c>
      <c r="AD404" s="28">
        <f t="shared" si="134"/>
        <v>0</v>
      </c>
      <c r="AE404" s="28">
        <f t="shared" si="153"/>
        <v>0.61899999999999999</v>
      </c>
      <c r="AF404" s="28">
        <f t="shared" si="154"/>
        <v>5964.98</v>
      </c>
      <c r="AG404" s="28">
        <f t="shared" si="155"/>
        <v>1.63</v>
      </c>
      <c r="AH404" s="28">
        <v>353</v>
      </c>
      <c r="AI404" s="28">
        <f t="shared" si="137"/>
        <v>0</v>
      </c>
      <c r="AJ404" s="28">
        <f t="shared" si="156"/>
        <v>5609.7049999999999</v>
      </c>
      <c r="AK404" s="30">
        <f>'Report Inputs'!$F$2</f>
        <v>55.9</v>
      </c>
      <c r="AL404" s="28">
        <f>'Report Inputs'!$E$2</f>
        <v>1080</v>
      </c>
      <c r="AM404" s="28">
        <f t="shared" si="157"/>
        <v>114.02200000000001</v>
      </c>
      <c r="AN404" s="26" t="s">
        <v>744</v>
      </c>
      <c r="AS404" s="26" t="s">
        <v>76</v>
      </c>
      <c r="AT404" s="26" t="s">
        <v>77</v>
      </c>
      <c r="AU404" s="26" t="s">
        <v>78</v>
      </c>
      <c r="AV404" s="31">
        <f t="shared" ca="1" si="145"/>
        <v>42376.365371064814</v>
      </c>
    </row>
    <row r="405" spans="1:48">
      <c r="A405" s="26">
        <v>7</v>
      </c>
      <c r="B405" s="26">
        <f>MONTH('Report Inputs'!$B$2)</f>
        <v>11</v>
      </c>
      <c r="C405" s="26">
        <f>YEAR('Report Inputs'!$B$2)</f>
        <v>2015</v>
      </c>
      <c r="D405" s="26">
        <v>66571</v>
      </c>
      <c r="F405" s="26" t="s">
        <v>65</v>
      </c>
      <c r="G405" s="26" t="s">
        <v>66</v>
      </c>
      <c r="H405" s="26" t="s">
        <v>67</v>
      </c>
      <c r="I405" s="26" t="s">
        <v>68</v>
      </c>
      <c r="J405" s="26" t="s">
        <v>69</v>
      </c>
      <c r="K405" s="26">
        <v>713</v>
      </c>
      <c r="L405" s="26" t="s">
        <v>70</v>
      </c>
      <c r="M405" s="26">
        <v>713</v>
      </c>
      <c r="N405" s="26" t="s">
        <v>71</v>
      </c>
      <c r="O405" s="26" t="s">
        <v>72</v>
      </c>
      <c r="P405" s="26">
        <v>45</v>
      </c>
      <c r="Q405" s="27">
        <v>20711</v>
      </c>
      <c r="R405" s="26">
        <v>0</v>
      </c>
      <c r="S405" s="26" t="s">
        <v>978</v>
      </c>
      <c r="T405" s="26" t="s">
        <v>80</v>
      </c>
      <c r="U405" s="26" t="str">
        <f t="shared" si="147"/>
        <v>PR</v>
      </c>
      <c r="V405" s="26">
        <f t="shared" si="146"/>
        <v>30</v>
      </c>
      <c r="W405" s="26" t="s">
        <v>88</v>
      </c>
      <c r="X405" s="26">
        <v>4</v>
      </c>
      <c r="Y405" s="26" t="s">
        <v>74</v>
      </c>
      <c r="Z405" s="26" t="s">
        <v>75</v>
      </c>
      <c r="AA405" s="28">
        <f t="shared" si="150"/>
        <v>0.53</v>
      </c>
      <c r="AB405" s="28">
        <f t="shared" si="151"/>
        <v>6.3789999999999996</v>
      </c>
      <c r="AC405" s="28">
        <f t="shared" si="152"/>
        <v>6.4690000000000003</v>
      </c>
      <c r="AD405" s="28">
        <f t="shared" si="134"/>
        <v>-1</v>
      </c>
      <c r="AE405" s="28">
        <f t="shared" si="153"/>
        <v>0.44</v>
      </c>
      <c r="AF405" s="28">
        <f t="shared" si="154"/>
        <v>4248.74</v>
      </c>
      <c r="AG405" s="28">
        <f t="shared" si="155"/>
        <v>1.1499999999999999</v>
      </c>
      <c r="AH405" s="28">
        <f t="shared" ref="AH405:AH459" si="158">IF(ISNA(VLOOKUP($Q405,data,11,FALSE)),0,VLOOKUP($Q405,data,11,FALSE))</f>
        <v>283.05</v>
      </c>
      <c r="AI405" s="28">
        <f t="shared" si="137"/>
        <v>0</v>
      </c>
      <c r="AJ405" s="28">
        <f t="shared" si="156"/>
        <v>3964.54</v>
      </c>
      <c r="AK405" s="30">
        <f>'Report Inputs'!$F$2</f>
        <v>55.9</v>
      </c>
      <c r="AL405" s="28">
        <f>'Report Inputs'!$E$2</f>
        <v>1080</v>
      </c>
      <c r="AM405" s="28">
        <f t="shared" si="157"/>
        <v>80.582999999999998</v>
      </c>
      <c r="AN405" s="26" t="s">
        <v>744</v>
      </c>
      <c r="AS405" s="26" t="s">
        <v>76</v>
      </c>
      <c r="AT405" s="26" t="s">
        <v>77</v>
      </c>
      <c r="AU405" s="26" t="s">
        <v>78</v>
      </c>
      <c r="AV405" s="31">
        <f t="shared" ca="1" si="145"/>
        <v>42376.365371064814</v>
      </c>
    </row>
    <row r="406" spans="1:48">
      <c r="A406" s="26">
        <v>7</v>
      </c>
      <c r="B406" s="26">
        <f>MONTH('Report Inputs'!$B$2)</f>
        <v>11</v>
      </c>
      <c r="C406" s="26">
        <f>YEAR('Report Inputs'!$B$2)</f>
        <v>2015</v>
      </c>
      <c r="D406" s="26">
        <v>66571</v>
      </c>
      <c r="F406" s="26" t="s">
        <v>65</v>
      </c>
      <c r="G406" s="26" t="s">
        <v>66</v>
      </c>
      <c r="H406" s="26" t="s">
        <v>67</v>
      </c>
      <c r="I406" s="26" t="s">
        <v>68</v>
      </c>
      <c r="J406" s="26" t="s">
        <v>69</v>
      </c>
      <c r="K406" s="26">
        <v>713</v>
      </c>
      <c r="L406" s="26" t="s">
        <v>70</v>
      </c>
      <c r="M406" s="26">
        <v>713</v>
      </c>
      <c r="N406" s="26" t="s">
        <v>71</v>
      </c>
      <c r="O406" s="26" t="s">
        <v>72</v>
      </c>
      <c r="P406" s="26">
        <v>45</v>
      </c>
      <c r="Q406" s="27">
        <v>20712</v>
      </c>
      <c r="R406" s="26">
        <v>0</v>
      </c>
      <c r="S406" s="26" t="s">
        <v>954</v>
      </c>
      <c r="T406" s="26" t="s">
        <v>80</v>
      </c>
      <c r="U406" s="26" t="str">
        <f t="shared" si="147"/>
        <v>PR</v>
      </c>
      <c r="V406" s="26">
        <f t="shared" si="146"/>
        <v>15</v>
      </c>
      <c r="W406" s="26" t="s">
        <v>88</v>
      </c>
      <c r="X406" s="26">
        <v>4</v>
      </c>
      <c r="Y406" s="26" t="s">
        <v>74</v>
      </c>
      <c r="Z406" s="26" t="s">
        <v>75</v>
      </c>
      <c r="AA406" s="28">
        <f t="shared" si="150"/>
        <v>2E-3</v>
      </c>
      <c r="AB406" s="28">
        <f t="shared" si="151"/>
        <v>5.0999999999999997E-2</v>
      </c>
      <c r="AC406" s="28">
        <f t="shared" si="152"/>
        <v>4.9000000000000002E-2</v>
      </c>
      <c r="AD406" s="28">
        <f t="shared" si="134"/>
        <v>0</v>
      </c>
      <c r="AE406" s="28">
        <f t="shared" si="153"/>
        <v>4.0000000000000001E-3</v>
      </c>
      <c r="AF406" s="28">
        <f t="shared" si="154"/>
        <v>132.16</v>
      </c>
      <c r="AG406" s="28">
        <f t="shared" si="155"/>
        <v>0.01</v>
      </c>
      <c r="AH406" s="28">
        <v>100</v>
      </c>
      <c r="AI406" s="28">
        <f t="shared" si="137"/>
        <v>0</v>
      </c>
      <c r="AJ406" s="28">
        <f t="shared" si="156"/>
        <v>31.568000000000001</v>
      </c>
      <c r="AL406" s="28">
        <f>'Report Inputs'!$E$2</f>
        <v>1080</v>
      </c>
      <c r="AM406" s="28">
        <f t="shared" si="157"/>
        <v>0.64200000000000002</v>
      </c>
      <c r="AN406" s="26" t="s">
        <v>744</v>
      </c>
      <c r="AS406" s="26" t="s">
        <v>76</v>
      </c>
      <c r="AT406" s="26" t="s">
        <v>77</v>
      </c>
      <c r="AU406" s="26" t="s">
        <v>78</v>
      </c>
      <c r="AV406" s="31">
        <f t="shared" ca="1" si="145"/>
        <v>42376.365371064814</v>
      </c>
    </row>
    <row r="407" spans="1:48">
      <c r="A407" s="26">
        <v>7</v>
      </c>
      <c r="B407" s="26">
        <f>MONTH('Report Inputs'!$B$2)</f>
        <v>11</v>
      </c>
      <c r="C407" s="26">
        <f>YEAR('Report Inputs'!$B$2)</f>
        <v>2015</v>
      </c>
      <c r="D407" s="26">
        <v>66571</v>
      </c>
      <c r="F407" s="26" t="s">
        <v>65</v>
      </c>
      <c r="G407" s="26" t="s">
        <v>66</v>
      </c>
      <c r="H407" s="26" t="s">
        <v>67</v>
      </c>
      <c r="I407" s="26" t="s">
        <v>68</v>
      </c>
      <c r="J407" s="26" t="s">
        <v>69</v>
      </c>
      <c r="K407" s="26">
        <v>713</v>
      </c>
      <c r="L407" s="26" t="s">
        <v>70</v>
      </c>
      <c r="M407" s="26">
        <v>713</v>
      </c>
      <c r="N407" s="26" t="s">
        <v>71</v>
      </c>
      <c r="O407" s="26" t="s">
        <v>72</v>
      </c>
      <c r="P407" s="26">
        <v>45</v>
      </c>
      <c r="Q407" s="27">
        <v>20713</v>
      </c>
      <c r="R407" s="26">
        <v>0</v>
      </c>
      <c r="S407" s="26" t="s">
        <v>973</v>
      </c>
      <c r="T407" s="26" t="s">
        <v>80</v>
      </c>
      <c r="U407" s="26" t="str">
        <f t="shared" si="147"/>
        <v>PR</v>
      </c>
      <c r="V407" s="26">
        <f t="shared" ref="V407:V449" si="159">IF(ISNA(VLOOKUP($Q407,data,4,FALSE)),0,VLOOKUP($Q407,data,4,FALSE))</f>
        <v>30</v>
      </c>
      <c r="W407" s="26" t="s">
        <v>88</v>
      </c>
      <c r="X407" s="26">
        <v>4</v>
      </c>
      <c r="Y407" s="26" t="s">
        <v>74</v>
      </c>
      <c r="Z407" s="26" t="s">
        <v>75</v>
      </c>
      <c r="AA407" s="28">
        <f t="shared" si="150"/>
        <v>0.33</v>
      </c>
      <c r="AB407" s="28">
        <f t="shared" si="151"/>
        <v>3.9740000000000002</v>
      </c>
      <c r="AC407" s="28">
        <f t="shared" si="152"/>
        <v>4.0309999999999997</v>
      </c>
      <c r="AD407" s="28">
        <f t="shared" si="134"/>
        <v>0</v>
      </c>
      <c r="AE407" s="28">
        <f t="shared" si="153"/>
        <v>0.27300000000000002</v>
      </c>
      <c r="AF407" s="28">
        <f t="shared" si="154"/>
        <v>2685.14</v>
      </c>
      <c r="AG407" s="28">
        <f t="shared" si="155"/>
        <v>0.72</v>
      </c>
      <c r="AH407" s="28">
        <v>214</v>
      </c>
      <c r="AI407" s="28">
        <f t="shared" si="137"/>
        <v>0</v>
      </c>
      <c r="AJ407" s="28">
        <f t="shared" si="156"/>
        <v>2469.7550000000001</v>
      </c>
      <c r="AK407" s="30">
        <f>'Report Inputs'!$F$2</f>
        <v>55.9</v>
      </c>
      <c r="AL407" s="28">
        <f>'Report Inputs'!$E$2</f>
        <v>1080</v>
      </c>
      <c r="AM407" s="28">
        <f t="shared" si="157"/>
        <v>50.2</v>
      </c>
      <c r="AN407" s="26" t="s">
        <v>744</v>
      </c>
      <c r="AS407" s="26" t="s">
        <v>76</v>
      </c>
      <c r="AT407" s="26" t="s">
        <v>77</v>
      </c>
      <c r="AU407" s="26" t="s">
        <v>78</v>
      </c>
      <c r="AV407" s="31">
        <f t="shared" ca="1" si="145"/>
        <v>42376.365371064814</v>
      </c>
    </row>
    <row r="408" spans="1:48">
      <c r="A408" s="26">
        <v>7</v>
      </c>
      <c r="B408" s="26">
        <f>MONTH('Report Inputs'!$B$2)</f>
        <v>11</v>
      </c>
      <c r="C408" s="26">
        <f>YEAR('Report Inputs'!$B$2)</f>
        <v>2015</v>
      </c>
      <c r="D408" s="26">
        <v>66571</v>
      </c>
      <c r="F408" s="26" t="s">
        <v>65</v>
      </c>
      <c r="G408" s="26" t="s">
        <v>66</v>
      </c>
      <c r="H408" s="26" t="s">
        <v>67</v>
      </c>
      <c r="I408" s="26" t="s">
        <v>68</v>
      </c>
      <c r="J408" s="26" t="s">
        <v>69</v>
      </c>
      <c r="K408" s="26">
        <v>713</v>
      </c>
      <c r="L408" s="26" t="s">
        <v>70</v>
      </c>
      <c r="M408" s="26">
        <v>713</v>
      </c>
      <c r="N408" s="26" t="s">
        <v>71</v>
      </c>
      <c r="O408" s="26" t="s">
        <v>72</v>
      </c>
      <c r="P408" s="26">
        <v>45</v>
      </c>
      <c r="Q408" s="27">
        <v>20714</v>
      </c>
      <c r="R408" s="26">
        <v>0</v>
      </c>
      <c r="S408" s="26" t="s">
        <v>961</v>
      </c>
      <c r="T408" s="26" t="s">
        <v>80</v>
      </c>
      <c r="U408" s="26" t="str">
        <f t="shared" si="147"/>
        <v>PR</v>
      </c>
      <c r="V408" s="26">
        <f t="shared" si="159"/>
        <v>30</v>
      </c>
      <c r="W408" s="26" t="s">
        <v>88</v>
      </c>
      <c r="X408" s="26">
        <v>4</v>
      </c>
      <c r="Y408" s="26" t="s">
        <v>74</v>
      </c>
      <c r="Z408" s="26" t="s">
        <v>75</v>
      </c>
      <c r="AA408" s="28">
        <f t="shared" si="150"/>
        <v>0.68899999999999995</v>
      </c>
      <c r="AB408" s="28">
        <f t="shared" si="151"/>
        <v>8.3610000000000007</v>
      </c>
      <c r="AC408" s="28">
        <f t="shared" si="152"/>
        <v>8.4760000000000009</v>
      </c>
      <c r="AD408" s="28">
        <f t="shared" si="134"/>
        <v>0</v>
      </c>
      <c r="AE408" s="28">
        <f t="shared" si="153"/>
        <v>0.57399999999999995</v>
      </c>
      <c r="AF408" s="28">
        <f t="shared" si="154"/>
        <v>5532.76</v>
      </c>
      <c r="AG408" s="28">
        <f t="shared" si="155"/>
        <v>1.51</v>
      </c>
      <c r="AH408" s="28">
        <f t="shared" si="158"/>
        <v>334.89299999999997</v>
      </c>
      <c r="AI408" s="28">
        <f t="shared" si="137"/>
        <v>0</v>
      </c>
      <c r="AJ408" s="28">
        <f t="shared" si="156"/>
        <v>5196.357</v>
      </c>
      <c r="AK408" s="30">
        <f>'Report Inputs'!$F$2</f>
        <v>55.9</v>
      </c>
      <c r="AL408" s="28">
        <f>'Report Inputs'!$E$2</f>
        <v>1080</v>
      </c>
      <c r="AM408" s="28">
        <f t="shared" si="157"/>
        <v>105.62</v>
      </c>
      <c r="AN408" s="26" t="s">
        <v>744</v>
      </c>
      <c r="AS408" s="26" t="s">
        <v>76</v>
      </c>
      <c r="AT408" s="26" t="s">
        <v>77</v>
      </c>
      <c r="AU408" s="26" t="s">
        <v>78</v>
      </c>
      <c r="AV408" s="31">
        <f t="shared" ca="1" si="145"/>
        <v>42376.365371064814</v>
      </c>
    </row>
    <row r="409" spans="1:48">
      <c r="A409" s="26">
        <v>7</v>
      </c>
      <c r="B409" s="26">
        <f>MONTH('Report Inputs'!$B$2)</f>
        <v>11</v>
      </c>
      <c r="C409" s="26">
        <f>YEAR('Report Inputs'!$B$2)</f>
        <v>2015</v>
      </c>
      <c r="D409" s="26">
        <v>66571</v>
      </c>
      <c r="F409" s="26" t="s">
        <v>65</v>
      </c>
      <c r="G409" s="26" t="s">
        <v>66</v>
      </c>
      <c r="H409" s="26" t="s">
        <v>67</v>
      </c>
      <c r="I409" s="26" t="s">
        <v>68</v>
      </c>
      <c r="J409" s="26" t="s">
        <v>69</v>
      </c>
      <c r="K409" s="26">
        <v>713</v>
      </c>
      <c r="L409" s="26" t="s">
        <v>70</v>
      </c>
      <c r="M409" s="26">
        <v>713</v>
      </c>
      <c r="N409" s="26" t="s">
        <v>71</v>
      </c>
      <c r="O409" s="26" t="s">
        <v>72</v>
      </c>
      <c r="P409" s="26">
        <v>45</v>
      </c>
      <c r="Q409" s="27">
        <v>20715</v>
      </c>
      <c r="R409" s="26">
        <v>0</v>
      </c>
      <c r="S409" s="26" t="s">
        <v>977</v>
      </c>
      <c r="T409" s="26" t="s">
        <v>80</v>
      </c>
      <c r="U409" s="26" t="str">
        <f t="shared" si="147"/>
        <v>PR</v>
      </c>
      <c r="V409" s="26">
        <f t="shared" si="159"/>
        <v>30</v>
      </c>
      <c r="W409" s="26" t="s">
        <v>88</v>
      </c>
      <c r="X409" s="26">
        <v>4</v>
      </c>
      <c r="Y409" s="26" t="s">
        <v>74</v>
      </c>
      <c r="Z409" s="26" t="s">
        <v>75</v>
      </c>
      <c r="AA409" s="28">
        <f t="shared" si="150"/>
        <v>0.56599999999999995</v>
      </c>
      <c r="AB409" s="28">
        <f t="shared" si="151"/>
        <v>6.8579999999999997</v>
      </c>
      <c r="AC409" s="28">
        <f t="shared" si="152"/>
        <v>6.952</v>
      </c>
      <c r="AD409" s="28">
        <f t="shared" si="134"/>
        <v>-1</v>
      </c>
      <c r="AE409" s="28">
        <f t="shared" si="153"/>
        <v>0.47199999999999998</v>
      </c>
      <c r="AF409" s="28">
        <f t="shared" si="154"/>
        <v>4556.29</v>
      </c>
      <c r="AG409" s="28">
        <f t="shared" si="155"/>
        <v>1.24</v>
      </c>
      <c r="AH409" s="28">
        <v>292</v>
      </c>
      <c r="AI409" s="28">
        <f t="shared" si="137"/>
        <v>0</v>
      </c>
      <c r="AJ409" s="28">
        <f t="shared" si="156"/>
        <v>4262.5219999999999</v>
      </c>
      <c r="AK409" s="30">
        <f>'Report Inputs'!$F$2</f>
        <v>55.9</v>
      </c>
      <c r="AL409" s="28">
        <f>'Report Inputs'!$E$2</f>
        <v>1080</v>
      </c>
      <c r="AM409" s="28">
        <f t="shared" si="157"/>
        <v>86.638999999999996</v>
      </c>
      <c r="AN409" s="26" t="s">
        <v>744</v>
      </c>
      <c r="AS409" s="26" t="s">
        <v>76</v>
      </c>
      <c r="AT409" s="26" t="s">
        <v>77</v>
      </c>
      <c r="AU409" s="26" t="s">
        <v>78</v>
      </c>
      <c r="AV409" s="31">
        <f t="shared" ca="1" si="145"/>
        <v>42376.365371064814</v>
      </c>
    </row>
    <row r="410" spans="1:48">
      <c r="A410" s="26">
        <v>7</v>
      </c>
      <c r="B410" s="26">
        <f>MONTH('Report Inputs'!$B$2)</f>
        <v>11</v>
      </c>
      <c r="C410" s="26">
        <f>YEAR('Report Inputs'!$B$2)</f>
        <v>2015</v>
      </c>
      <c r="D410" s="26">
        <v>66571</v>
      </c>
      <c r="F410" s="26" t="s">
        <v>65</v>
      </c>
      <c r="G410" s="26" t="s">
        <v>66</v>
      </c>
      <c r="H410" s="26" t="s">
        <v>67</v>
      </c>
      <c r="I410" s="26" t="s">
        <v>68</v>
      </c>
      <c r="J410" s="26" t="s">
        <v>69</v>
      </c>
      <c r="K410" s="26">
        <v>713</v>
      </c>
      <c r="L410" s="26" t="s">
        <v>70</v>
      </c>
      <c r="M410" s="26">
        <v>713</v>
      </c>
      <c r="N410" s="26" t="s">
        <v>71</v>
      </c>
      <c r="O410" s="26" t="s">
        <v>72</v>
      </c>
      <c r="P410" s="26">
        <v>45</v>
      </c>
      <c r="Q410" s="27">
        <v>20716</v>
      </c>
      <c r="R410" s="26">
        <v>0</v>
      </c>
      <c r="S410" s="26" t="s">
        <v>976</v>
      </c>
      <c r="T410" s="26" t="s">
        <v>80</v>
      </c>
      <c r="U410" s="26" t="str">
        <f t="shared" si="147"/>
        <v>PR</v>
      </c>
      <c r="V410" s="26">
        <f t="shared" si="159"/>
        <v>30</v>
      </c>
      <c r="W410" s="26" t="s">
        <v>88</v>
      </c>
      <c r="X410" s="26">
        <v>4</v>
      </c>
      <c r="Y410" s="26" t="s">
        <v>74</v>
      </c>
      <c r="Z410" s="26" t="s">
        <v>75</v>
      </c>
      <c r="AA410" s="28">
        <f t="shared" si="150"/>
        <v>0.40100000000000002</v>
      </c>
      <c r="AB410" s="28">
        <f t="shared" si="151"/>
        <v>4.4109999999999996</v>
      </c>
      <c r="AC410" s="28">
        <f t="shared" si="152"/>
        <v>4.5060000000000002</v>
      </c>
      <c r="AD410" s="28">
        <f t="shared" si="134"/>
        <v>1</v>
      </c>
      <c r="AE410" s="28">
        <f t="shared" si="153"/>
        <v>0.30599999999999999</v>
      </c>
      <c r="AF410" s="28">
        <f t="shared" si="154"/>
        <v>2965.55</v>
      </c>
      <c r="AG410" s="28">
        <f t="shared" si="155"/>
        <v>0.8</v>
      </c>
      <c r="AH410" s="28">
        <f t="shared" si="158"/>
        <v>223.512</v>
      </c>
      <c r="AI410" s="28">
        <f t="shared" si="137"/>
        <v>0</v>
      </c>
      <c r="AJ410" s="28">
        <f t="shared" si="156"/>
        <v>2741.2379999999998</v>
      </c>
      <c r="AK410" s="30">
        <f>'Report Inputs'!$F$2</f>
        <v>55.9</v>
      </c>
      <c r="AL410" s="28">
        <f>'Report Inputs'!$E$2</f>
        <v>1080</v>
      </c>
      <c r="AM410" s="28">
        <f t="shared" si="157"/>
        <v>55.719000000000001</v>
      </c>
      <c r="AN410" s="26" t="s">
        <v>744</v>
      </c>
      <c r="AS410" s="26" t="s">
        <v>76</v>
      </c>
      <c r="AT410" s="26" t="s">
        <v>77</v>
      </c>
      <c r="AU410" s="26" t="s">
        <v>78</v>
      </c>
      <c r="AV410" s="31">
        <f t="shared" ca="1" si="145"/>
        <v>42376.365371064814</v>
      </c>
    </row>
    <row r="411" spans="1:48">
      <c r="A411" s="26">
        <v>7</v>
      </c>
      <c r="B411" s="26">
        <f>MONTH('Report Inputs'!$B$2)</f>
        <v>11</v>
      </c>
      <c r="C411" s="26">
        <f>YEAR('Report Inputs'!$B$2)</f>
        <v>2015</v>
      </c>
      <c r="D411" s="26">
        <v>66571</v>
      </c>
      <c r="F411" s="26" t="s">
        <v>65</v>
      </c>
      <c r="G411" s="26" t="s">
        <v>66</v>
      </c>
      <c r="H411" s="26" t="s">
        <v>67</v>
      </c>
      <c r="I411" s="26" t="s">
        <v>68</v>
      </c>
      <c r="J411" s="26" t="s">
        <v>69</v>
      </c>
      <c r="K411" s="26">
        <v>713</v>
      </c>
      <c r="L411" s="26" t="s">
        <v>70</v>
      </c>
      <c r="M411" s="26">
        <v>713</v>
      </c>
      <c r="N411" s="26" t="s">
        <v>71</v>
      </c>
      <c r="O411" s="26" t="s">
        <v>72</v>
      </c>
      <c r="P411" s="26">
        <v>45</v>
      </c>
      <c r="Q411" s="27">
        <v>20717</v>
      </c>
      <c r="R411" s="26">
        <v>0</v>
      </c>
      <c r="S411" s="26" t="s">
        <v>953</v>
      </c>
      <c r="T411" s="26" t="s">
        <v>80</v>
      </c>
      <c r="U411" s="26" t="str">
        <f t="shared" si="147"/>
        <v>PR</v>
      </c>
      <c r="V411" s="26">
        <f t="shared" si="159"/>
        <v>30</v>
      </c>
      <c r="W411" s="26" t="s">
        <v>88</v>
      </c>
      <c r="X411" s="26">
        <v>4</v>
      </c>
      <c r="Y411" s="26" t="s">
        <v>74</v>
      </c>
      <c r="Z411" s="26" t="s">
        <v>75</v>
      </c>
      <c r="AA411" s="28">
        <f t="shared" si="150"/>
        <v>0.40899999999999997</v>
      </c>
      <c r="AB411" s="28">
        <f t="shared" si="151"/>
        <v>4.9269999999999996</v>
      </c>
      <c r="AC411" s="28">
        <f t="shared" si="152"/>
        <v>4.9969999999999999</v>
      </c>
      <c r="AD411" s="28">
        <f t="shared" ref="AD411:AD441" si="160">ROUND(AC411,0)+ROUND(AE411,0)-ROUND(AA411,0)-ROUND(AB411,0)</f>
        <v>0</v>
      </c>
      <c r="AE411" s="28">
        <f t="shared" si="153"/>
        <v>0.33900000000000002</v>
      </c>
      <c r="AF411" s="28">
        <f t="shared" si="154"/>
        <v>3321.7</v>
      </c>
      <c r="AG411" s="28">
        <f t="shared" si="155"/>
        <v>0.89</v>
      </c>
      <c r="AH411" s="28">
        <f t="shared" si="158"/>
        <v>258.15300000000002</v>
      </c>
      <c r="AI411" s="28">
        <f t="shared" si="137"/>
        <v>0</v>
      </c>
      <c r="AJ411" s="28">
        <f t="shared" si="156"/>
        <v>3062.6570000000002</v>
      </c>
      <c r="AK411" s="30">
        <f>'Report Inputs'!$F$2</f>
        <v>55.9</v>
      </c>
      <c r="AL411" s="28">
        <f>'Report Inputs'!$E$2</f>
        <v>1080</v>
      </c>
      <c r="AM411" s="28">
        <f t="shared" si="157"/>
        <v>62.250999999999998</v>
      </c>
      <c r="AN411" s="26" t="s">
        <v>744</v>
      </c>
      <c r="AS411" s="26" t="s">
        <v>76</v>
      </c>
      <c r="AT411" s="26" t="s">
        <v>77</v>
      </c>
      <c r="AU411" s="26" t="s">
        <v>78</v>
      </c>
      <c r="AV411" s="31">
        <f t="shared" ca="1" si="145"/>
        <v>42376.365371064814</v>
      </c>
    </row>
    <row r="412" spans="1:48">
      <c r="A412" s="26">
        <v>7</v>
      </c>
      <c r="B412" s="26">
        <f>MONTH('Report Inputs'!$B$2)</f>
        <v>11</v>
      </c>
      <c r="C412" s="26">
        <f>YEAR('Report Inputs'!$B$2)</f>
        <v>2015</v>
      </c>
      <c r="D412" s="26">
        <v>66571</v>
      </c>
      <c r="F412" s="26" t="s">
        <v>65</v>
      </c>
      <c r="G412" s="26" t="s">
        <v>66</v>
      </c>
      <c r="H412" s="26" t="s">
        <v>67</v>
      </c>
      <c r="I412" s="26" t="s">
        <v>68</v>
      </c>
      <c r="J412" s="26" t="s">
        <v>69</v>
      </c>
      <c r="K412" s="26">
        <v>713</v>
      </c>
      <c r="L412" s="26" t="s">
        <v>70</v>
      </c>
      <c r="M412" s="26">
        <v>713</v>
      </c>
      <c r="N412" s="26" t="s">
        <v>71</v>
      </c>
      <c r="O412" s="26" t="s">
        <v>72</v>
      </c>
      <c r="P412" s="26">
        <v>45</v>
      </c>
      <c r="Q412" s="27">
        <v>20718</v>
      </c>
      <c r="R412" s="26">
        <v>0</v>
      </c>
      <c r="S412" s="26" t="s">
        <v>962</v>
      </c>
      <c r="T412" s="26" t="s">
        <v>80</v>
      </c>
      <c r="U412" s="26" t="str">
        <f t="shared" si="147"/>
        <v>PR</v>
      </c>
      <c r="V412" s="26">
        <f t="shared" si="159"/>
        <v>30</v>
      </c>
      <c r="W412" s="26" t="s">
        <v>88</v>
      </c>
      <c r="X412" s="26">
        <v>4</v>
      </c>
      <c r="Y412" s="26" t="s">
        <v>74</v>
      </c>
      <c r="Z412" s="26" t="s">
        <v>75</v>
      </c>
      <c r="AA412" s="28">
        <f t="shared" si="150"/>
        <v>0.49299999999999999</v>
      </c>
      <c r="AB412" s="28">
        <f t="shared" si="151"/>
        <v>6.0590000000000002</v>
      </c>
      <c r="AC412" s="28">
        <f t="shared" si="152"/>
        <v>6.1360000000000001</v>
      </c>
      <c r="AD412" s="28">
        <f t="shared" si="160"/>
        <v>0</v>
      </c>
      <c r="AE412" s="28">
        <f t="shared" si="153"/>
        <v>0.41599999999999998</v>
      </c>
      <c r="AF412" s="28">
        <f t="shared" si="154"/>
        <v>4035.45</v>
      </c>
      <c r="AG412" s="28">
        <f t="shared" si="155"/>
        <v>1.1000000000000001</v>
      </c>
      <c r="AH412" s="28">
        <f t="shared" si="158"/>
        <v>269.93099999999998</v>
      </c>
      <c r="AI412" s="28">
        <f t="shared" si="137"/>
        <v>0</v>
      </c>
      <c r="AJ412" s="28">
        <f t="shared" si="156"/>
        <v>3764.4189999999999</v>
      </c>
      <c r="AK412" s="30">
        <f>'Report Inputs'!$F$2</f>
        <v>55.9</v>
      </c>
      <c r="AL412" s="28">
        <f>'Report Inputs'!$E$2</f>
        <v>1080</v>
      </c>
      <c r="AM412" s="28">
        <f t="shared" si="157"/>
        <v>76.515000000000001</v>
      </c>
      <c r="AN412" s="26" t="s">
        <v>744</v>
      </c>
      <c r="AS412" s="26" t="s">
        <v>76</v>
      </c>
      <c r="AT412" s="26" t="s">
        <v>77</v>
      </c>
      <c r="AU412" s="26" t="s">
        <v>78</v>
      </c>
      <c r="AV412" s="31">
        <f t="shared" ca="1" si="145"/>
        <v>42376.365371064814</v>
      </c>
    </row>
    <row r="413" spans="1:48">
      <c r="A413" s="26">
        <v>7</v>
      </c>
      <c r="B413" s="26">
        <f>MONTH('Report Inputs'!$B$2)</f>
        <v>11</v>
      </c>
      <c r="C413" s="26">
        <f>YEAR('Report Inputs'!$B$2)</f>
        <v>2015</v>
      </c>
      <c r="D413" s="26">
        <v>66571</v>
      </c>
      <c r="F413" s="26" t="s">
        <v>65</v>
      </c>
      <c r="G413" s="26" t="s">
        <v>66</v>
      </c>
      <c r="H413" s="26" t="s">
        <v>67</v>
      </c>
      <c r="I413" s="26" t="s">
        <v>68</v>
      </c>
      <c r="J413" s="26" t="s">
        <v>69</v>
      </c>
      <c r="K413" s="26">
        <v>713</v>
      </c>
      <c r="L413" s="26" t="s">
        <v>70</v>
      </c>
      <c r="M413" s="26">
        <v>713</v>
      </c>
      <c r="N413" s="26" t="s">
        <v>71</v>
      </c>
      <c r="O413" s="26" t="s">
        <v>72</v>
      </c>
      <c r="P413" s="26">
        <v>45</v>
      </c>
      <c r="Q413" s="27">
        <v>20719</v>
      </c>
      <c r="R413" s="26">
        <v>0</v>
      </c>
      <c r="S413" s="26" t="s">
        <v>955</v>
      </c>
      <c r="T413" s="26" t="s">
        <v>80</v>
      </c>
      <c r="U413" s="26" t="str">
        <f t="shared" si="147"/>
        <v>PR</v>
      </c>
      <c r="V413" s="26">
        <f t="shared" si="159"/>
        <v>30</v>
      </c>
      <c r="W413" s="26" t="s">
        <v>88</v>
      </c>
      <c r="X413" s="26">
        <v>4</v>
      </c>
      <c r="Y413" s="26" t="s">
        <v>74</v>
      </c>
      <c r="Z413" s="26" t="s">
        <v>75</v>
      </c>
      <c r="AA413" s="28">
        <f t="shared" si="150"/>
        <v>0.53800000000000003</v>
      </c>
      <c r="AB413" s="28">
        <f t="shared" si="151"/>
        <v>6.5039999999999996</v>
      </c>
      <c r="AC413" s="28">
        <f t="shared" si="152"/>
        <v>6.5949999999999998</v>
      </c>
      <c r="AD413" s="28">
        <f t="shared" si="160"/>
        <v>-1</v>
      </c>
      <c r="AE413" s="28">
        <f t="shared" si="153"/>
        <v>0.44700000000000001</v>
      </c>
      <c r="AF413" s="28">
        <f t="shared" si="154"/>
        <v>4325.93</v>
      </c>
      <c r="AG413" s="28">
        <f t="shared" si="155"/>
        <v>1.18</v>
      </c>
      <c r="AH413" s="28">
        <f t="shared" si="158"/>
        <v>282.53300000000002</v>
      </c>
      <c r="AI413" s="28">
        <f t="shared" si="137"/>
        <v>0</v>
      </c>
      <c r="AJ413" s="28">
        <f t="shared" si="156"/>
        <v>4042.2170000000001</v>
      </c>
      <c r="AK413" s="30">
        <f>'Report Inputs'!$F$2</f>
        <v>55.9</v>
      </c>
      <c r="AL413" s="28">
        <f>'Report Inputs'!$E$2</f>
        <v>1080</v>
      </c>
      <c r="AM413" s="28">
        <f t="shared" si="157"/>
        <v>82.161000000000001</v>
      </c>
      <c r="AN413" s="26" t="s">
        <v>744</v>
      </c>
      <c r="AS413" s="26" t="s">
        <v>76</v>
      </c>
      <c r="AT413" s="26" t="s">
        <v>77</v>
      </c>
      <c r="AU413" s="26" t="s">
        <v>78</v>
      </c>
      <c r="AV413" s="31">
        <f t="shared" ca="1" si="145"/>
        <v>42376.365371064814</v>
      </c>
    </row>
    <row r="414" spans="1:48">
      <c r="A414" s="26">
        <v>7</v>
      </c>
      <c r="B414" s="26">
        <f>MONTH('Report Inputs'!$B$2)</f>
        <v>11</v>
      </c>
      <c r="C414" s="26">
        <f>YEAR('Report Inputs'!$B$2)</f>
        <v>2015</v>
      </c>
      <c r="D414" s="26">
        <v>66571</v>
      </c>
      <c r="F414" s="26" t="s">
        <v>65</v>
      </c>
      <c r="G414" s="26" t="s">
        <v>66</v>
      </c>
      <c r="H414" s="26" t="s">
        <v>67</v>
      </c>
      <c r="I414" s="26" t="s">
        <v>68</v>
      </c>
      <c r="J414" s="26" t="s">
        <v>69</v>
      </c>
      <c r="K414" s="26">
        <v>713</v>
      </c>
      <c r="L414" s="26" t="s">
        <v>70</v>
      </c>
      <c r="M414" s="26">
        <v>713</v>
      </c>
      <c r="N414" s="26" t="s">
        <v>71</v>
      </c>
      <c r="O414" s="26" t="s">
        <v>72</v>
      </c>
      <c r="P414" s="26">
        <v>45</v>
      </c>
      <c r="Q414" s="27">
        <v>20720</v>
      </c>
      <c r="R414" s="26">
        <v>0</v>
      </c>
      <c r="S414" s="26" t="s">
        <v>971</v>
      </c>
      <c r="T414" s="26" t="s">
        <v>80</v>
      </c>
      <c r="U414" s="26" t="str">
        <f t="shared" si="147"/>
        <v>PR</v>
      </c>
      <c r="V414" s="26">
        <f t="shared" si="159"/>
        <v>30</v>
      </c>
      <c r="W414" s="26" t="s">
        <v>88</v>
      </c>
      <c r="X414" s="26">
        <v>4</v>
      </c>
      <c r="Y414" s="26" t="s">
        <v>74</v>
      </c>
      <c r="Z414" s="26" t="s">
        <v>75</v>
      </c>
      <c r="AA414" s="28">
        <f t="shared" si="150"/>
        <v>0.52200000000000002</v>
      </c>
      <c r="AB414" s="28">
        <f t="shared" si="151"/>
        <v>6.367</v>
      </c>
      <c r="AC414" s="28">
        <f t="shared" si="152"/>
        <v>6.452</v>
      </c>
      <c r="AD414" s="28">
        <f t="shared" si="160"/>
        <v>-1</v>
      </c>
      <c r="AE414" s="28">
        <f t="shared" si="153"/>
        <v>0.437</v>
      </c>
      <c r="AF414" s="28">
        <f t="shared" si="154"/>
        <v>4236.7</v>
      </c>
      <c r="AG414" s="28">
        <f t="shared" si="155"/>
        <v>1.1499999999999999</v>
      </c>
      <c r="AH414" s="28">
        <f t="shared" si="158"/>
        <v>278.66199999999998</v>
      </c>
      <c r="AI414" s="28">
        <f t="shared" si="137"/>
        <v>0</v>
      </c>
      <c r="AJ414" s="28">
        <f t="shared" si="156"/>
        <v>3956.8879999999999</v>
      </c>
      <c r="AK414" s="30">
        <f>'Report Inputs'!$F$2</f>
        <v>55.9</v>
      </c>
      <c r="AL414" s="28">
        <f>'Report Inputs'!$E$2</f>
        <v>1080</v>
      </c>
      <c r="AM414" s="28">
        <f t="shared" si="157"/>
        <v>80.426000000000002</v>
      </c>
      <c r="AN414" s="26" t="s">
        <v>744</v>
      </c>
      <c r="AS414" s="26" t="s">
        <v>76</v>
      </c>
      <c r="AT414" s="26" t="s">
        <v>77</v>
      </c>
      <c r="AU414" s="26" t="s">
        <v>78</v>
      </c>
      <c r="AV414" s="31">
        <f t="shared" ca="1" si="145"/>
        <v>42376.365371064814</v>
      </c>
    </row>
    <row r="415" spans="1:48">
      <c r="A415" s="26">
        <v>7</v>
      </c>
      <c r="B415" s="26">
        <f>MONTH('Report Inputs'!$B$2)</f>
        <v>11</v>
      </c>
      <c r="C415" s="26">
        <f>YEAR('Report Inputs'!$B$2)</f>
        <v>2015</v>
      </c>
      <c r="D415" s="26">
        <v>66571</v>
      </c>
      <c r="F415" s="26" t="s">
        <v>65</v>
      </c>
      <c r="G415" s="26" t="s">
        <v>66</v>
      </c>
      <c r="H415" s="26" t="s">
        <v>67</v>
      </c>
      <c r="I415" s="26" t="s">
        <v>68</v>
      </c>
      <c r="J415" s="26" t="s">
        <v>69</v>
      </c>
      <c r="K415" s="26">
        <v>713</v>
      </c>
      <c r="L415" s="26" t="s">
        <v>70</v>
      </c>
      <c r="M415" s="26">
        <v>713</v>
      </c>
      <c r="N415" s="26" t="s">
        <v>71</v>
      </c>
      <c r="O415" s="26" t="s">
        <v>72</v>
      </c>
      <c r="P415" s="26">
        <v>45</v>
      </c>
      <c r="Q415" s="27">
        <v>20721</v>
      </c>
      <c r="R415" s="26">
        <v>0</v>
      </c>
      <c r="S415" s="26" t="s">
        <v>975</v>
      </c>
      <c r="T415" s="26" t="s">
        <v>80</v>
      </c>
      <c r="U415" s="26" t="str">
        <f t="shared" si="147"/>
        <v>PR</v>
      </c>
      <c r="V415" s="26">
        <f t="shared" si="159"/>
        <v>30</v>
      </c>
      <c r="W415" s="26" t="s">
        <v>88</v>
      </c>
      <c r="X415" s="26">
        <v>4</v>
      </c>
      <c r="Y415" s="26" t="s">
        <v>74</v>
      </c>
      <c r="Z415" s="26" t="s">
        <v>75</v>
      </c>
      <c r="AA415" s="28">
        <f t="shared" si="150"/>
        <v>1.0999999999999999E-2</v>
      </c>
      <c r="AB415" s="28">
        <f t="shared" si="151"/>
        <v>0.13300000000000001</v>
      </c>
      <c r="AC415" s="28">
        <f t="shared" si="152"/>
        <v>0.13600000000000001</v>
      </c>
      <c r="AD415" s="28">
        <f t="shared" si="160"/>
        <v>0</v>
      </c>
      <c r="AE415" s="28">
        <f t="shared" si="153"/>
        <v>8.0000000000000002E-3</v>
      </c>
      <c r="AF415" s="28">
        <f t="shared" si="154"/>
        <v>185.47</v>
      </c>
      <c r="AG415" s="28">
        <f t="shared" si="155"/>
        <v>0.02</v>
      </c>
      <c r="AH415" s="28">
        <v>102</v>
      </c>
      <c r="AI415" s="28">
        <f t="shared" si="137"/>
        <v>0</v>
      </c>
      <c r="AJ415" s="28">
        <f t="shared" si="156"/>
        <v>82.555000000000007</v>
      </c>
      <c r="AL415" s="28">
        <f>'Report Inputs'!$E$2</f>
        <v>1080</v>
      </c>
      <c r="AM415" s="28">
        <f t="shared" si="157"/>
        <v>1.6779999999999999</v>
      </c>
      <c r="AN415" s="26" t="s">
        <v>744</v>
      </c>
      <c r="AS415" s="26" t="s">
        <v>76</v>
      </c>
      <c r="AT415" s="26" t="s">
        <v>77</v>
      </c>
      <c r="AU415" s="26" t="s">
        <v>78</v>
      </c>
      <c r="AV415" s="31">
        <f t="shared" ca="1" si="145"/>
        <v>42376.365371064814</v>
      </c>
    </row>
    <row r="416" spans="1:48">
      <c r="A416" s="26">
        <v>7</v>
      </c>
      <c r="B416" s="26">
        <f>MONTH('Report Inputs'!$B$2)</f>
        <v>11</v>
      </c>
      <c r="C416" s="26">
        <f>YEAR('Report Inputs'!$B$2)</f>
        <v>2015</v>
      </c>
      <c r="D416" s="26">
        <v>66571</v>
      </c>
      <c r="F416" s="26" t="s">
        <v>65</v>
      </c>
      <c r="G416" s="26" t="s">
        <v>66</v>
      </c>
      <c r="H416" s="26" t="s">
        <v>67</v>
      </c>
      <c r="I416" s="26" t="s">
        <v>68</v>
      </c>
      <c r="J416" s="26" t="s">
        <v>69</v>
      </c>
      <c r="K416" s="26">
        <v>713</v>
      </c>
      <c r="L416" s="26" t="s">
        <v>70</v>
      </c>
      <c r="M416" s="26">
        <v>713</v>
      </c>
      <c r="N416" s="26" t="s">
        <v>71</v>
      </c>
      <c r="O416" s="26" t="s">
        <v>72</v>
      </c>
      <c r="P416" s="26">
        <v>45</v>
      </c>
      <c r="Q416" s="27">
        <v>20722</v>
      </c>
      <c r="R416" s="26">
        <v>0</v>
      </c>
      <c r="S416" s="26" t="s">
        <v>963</v>
      </c>
      <c r="T416" s="26" t="s">
        <v>80</v>
      </c>
      <c r="U416" s="26" t="str">
        <f t="shared" si="147"/>
        <v>PR</v>
      </c>
      <c r="V416" s="26">
        <f t="shared" si="159"/>
        <v>30</v>
      </c>
      <c r="W416" s="26" t="s">
        <v>88</v>
      </c>
      <c r="X416" s="26">
        <v>4</v>
      </c>
      <c r="Y416" s="26" t="s">
        <v>74</v>
      </c>
      <c r="Z416" s="26" t="s">
        <v>75</v>
      </c>
      <c r="AA416" s="28">
        <f t="shared" si="150"/>
        <v>0.48799999999999999</v>
      </c>
      <c r="AB416" s="28">
        <f t="shared" si="151"/>
        <v>6.0780000000000003</v>
      </c>
      <c r="AC416" s="28">
        <f t="shared" si="152"/>
        <v>6.15</v>
      </c>
      <c r="AD416" s="28">
        <f t="shared" si="160"/>
        <v>0</v>
      </c>
      <c r="AE416" s="28">
        <f t="shared" si="153"/>
        <v>0.41599999999999998</v>
      </c>
      <c r="AF416" s="28">
        <f t="shared" si="154"/>
        <v>4048.95</v>
      </c>
      <c r="AG416" s="28">
        <f t="shared" si="155"/>
        <v>1.1000000000000001</v>
      </c>
      <c r="AH416" s="28">
        <f t="shared" si="158"/>
        <v>270.51600000000002</v>
      </c>
      <c r="AI416" s="28">
        <f t="shared" si="137"/>
        <v>0</v>
      </c>
      <c r="AJ416" s="28">
        <f t="shared" si="156"/>
        <v>3777.3339999999998</v>
      </c>
      <c r="AK416" s="30">
        <f>'Report Inputs'!$F$2</f>
        <v>55.9</v>
      </c>
      <c r="AL416" s="28">
        <f>'Report Inputs'!$E$2</f>
        <v>1080</v>
      </c>
      <c r="AM416" s="28">
        <f t="shared" si="157"/>
        <v>76.778000000000006</v>
      </c>
      <c r="AN416" s="26" t="s">
        <v>744</v>
      </c>
      <c r="AS416" s="26" t="s">
        <v>76</v>
      </c>
      <c r="AT416" s="26" t="s">
        <v>77</v>
      </c>
      <c r="AU416" s="26" t="s">
        <v>78</v>
      </c>
      <c r="AV416" s="31">
        <f t="shared" ca="1" si="145"/>
        <v>42376.365371064814</v>
      </c>
    </row>
    <row r="417" spans="1:48">
      <c r="A417" s="26">
        <v>7</v>
      </c>
      <c r="B417" s="26">
        <f>MONTH('Report Inputs'!$B$2)</f>
        <v>11</v>
      </c>
      <c r="C417" s="26">
        <f>YEAR('Report Inputs'!$B$2)</f>
        <v>2015</v>
      </c>
      <c r="D417" s="26">
        <v>66571</v>
      </c>
      <c r="F417" s="26" t="s">
        <v>65</v>
      </c>
      <c r="G417" s="26" t="s">
        <v>66</v>
      </c>
      <c r="H417" s="26" t="s">
        <v>67</v>
      </c>
      <c r="I417" s="26" t="s">
        <v>68</v>
      </c>
      <c r="J417" s="26" t="s">
        <v>69</v>
      </c>
      <c r="K417" s="26">
        <v>713</v>
      </c>
      <c r="L417" s="26" t="s">
        <v>70</v>
      </c>
      <c r="M417" s="26">
        <v>713</v>
      </c>
      <c r="N417" s="26" t="s">
        <v>71</v>
      </c>
      <c r="O417" s="26" t="s">
        <v>72</v>
      </c>
      <c r="P417" s="26">
        <v>45</v>
      </c>
      <c r="Q417" s="27">
        <v>20723</v>
      </c>
      <c r="R417" s="26">
        <v>0</v>
      </c>
      <c r="S417" s="26" t="s">
        <v>981</v>
      </c>
      <c r="T417" s="26" t="s">
        <v>80</v>
      </c>
      <c r="U417" s="26" t="str">
        <f t="shared" si="147"/>
        <v>PR</v>
      </c>
      <c r="V417" s="26">
        <f t="shared" si="159"/>
        <v>30</v>
      </c>
      <c r="W417" s="26" t="s">
        <v>88</v>
      </c>
      <c r="X417" s="26">
        <v>4</v>
      </c>
      <c r="Y417" s="26" t="s">
        <v>74</v>
      </c>
      <c r="Z417" s="26" t="s">
        <v>75</v>
      </c>
      <c r="AA417" s="28">
        <f t="shared" si="150"/>
        <v>0.60499999999999998</v>
      </c>
      <c r="AB417" s="28">
        <f t="shared" si="151"/>
        <v>7.468</v>
      </c>
      <c r="AC417" s="28">
        <f t="shared" si="152"/>
        <v>7.56</v>
      </c>
      <c r="AD417" s="28">
        <f t="shared" si="160"/>
        <v>1</v>
      </c>
      <c r="AE417" s="28">
        <f t="shared" si="153"/>
        <v>0.51300000000000001</v>
      </c>
      <c r="AF417" s="28">
        <f t="shared" si="154"/>
        <v>4951.8999999999996</v>
      </c>
      <c r="AG417" s="28">
        <f t="shared" si="155"/>
        <v>1.35</v>
      </c>
      <c r="AH417" s="28">
        <f t="shared" si="158"/>
        <v>309.69200000000001</v>
      </c>
      <c r="AI417" s="28">
        <f t="shared" si="137"/>
        <v>0</v>
      </c>
      <c r="AJ417" s="28">
        <f t="shared" si="156"/>
        <v>4640.8580000000002</v>
      </c>
      <c r="AK417" s="30">
        <f>'Report Inputs'!$F$2</f>
        <v>55.9</v>
      </c>
      <c r="AL417" s="28">
        <f>'Report Inputs'!$E$2</f>
        <v>1080</v>
      </c>
      <c r="AM417" s="28">
        <f t="shared" si="157"/>
        <v>94.328999999999994</v>
      </c>
      <c r="AN417" s="26" t="s">
        <v>744</v>
      </c>
      <c r="AS417" s="26" t="s">
        <v>76</v>
      </c>
      <c r="AT417" s="26" t="s">
        <v>77</v>
      </c>
      <c r="AU417" s="26" t="s">
        <v>78</v>
      </c>
      <c r="AV417" s="31">
        <f t="shared" ca="1" si="145"/>
        <v>42376.365371064814</v>
      </c>
    </row>
    <row r="418" spans="1:48">
      <c r="A418" s="26">
        <v>7</v>
      </c>
      <c r="B418" s="26">
        <f>MONTH('Report Inputs'!$B$2)</f>
        <v>11</v>
      </c>
      <c r="C418" s="26">
        <f>YEAR('Report Inputs'!$B$2)</f>
        <v>2015</v>
      </c>
      <c r="D418" s="26">
        <v>66571</v>
      </c>
      <c r="F418" s="26" t="s">
        <v>65</v>
      </c>
      <c r="G418" s="26" t="s">
        <v>66</v>
      </c>
      <c r="H418" s="26" t="s">
        <v>67</v>
      </c>
      <c r="I418" s="26" t="s">
        <v>68</v>
      </c>
      <c r="J418" s="26" t="s">
        <v>69</v>
      </c>
      <c r="K418" s="26">
        <v>713</v>
      </c>
      <c r="L418" s="26" t="s">
        <v>70</v>
      </c>
      <c r="M418" s="26">
        <v>713</v>
      </c>
      <c r="N418" s="26" t="s">
        <v>71</v>
      </c>
      <c r="O418" s="26" t="s">
        <v>72</v>
      </c>
      <c r="P418" s="26">
        <v>45</v>
      </c>
      <c r="Q418" s="27">
        <v>20724</v>
      </c>
      <c r="R418" s="26">
        <v>0</v>
      </c>
      <c r="S418" s="26" t="s">
        <v>974</v>
      </c>
      <c r="T418" s="26" t="s">
        <v>80</v>
      </c>
      <c r="U418" s="26" t="str">
        <f t="shared" si="147"/>
        <v>PR</v>
      </c>
      <c r="V418" s="26">
        <f t="shared" si="159"/>
        <v>30</v>
      </c>
      <c r="W418" s="26" t="s">
        <v>88</v>
      </c>
      <c r="X418" s="26">
        <v>4</v>
      </c>
      <c r="Y418" s="26" t="s">
        <v>74</v>
      </c>
      <c r="Z418" s="26" t="s">
        <v>75</v>
      </c>
      <c r="AA418" s="28">
        <f t="shared" si="150"/>
        <v>0.66900000000000004</v>
      </c>
      <c r="AB418" s="28">
        <f t="shared" si="151"/>
        <v>8.0399999999999991</v>
      </c>
      <c r="AC418" s="28">
        <f t="shared" si="152"/>
        <v>8.1549999999999994</v>
      </c>
      <c r="AD418" s="28">
        <f t="shared" si="160"/>
        <v>0</v>
      </c>
      <c r="AE418" s="28">
        <f t="shared" si="153"/>
        <v>0.55400000000000005</v>
      </c>
      <c r="AF418" s="28">
        <f t="shared" si="154"/>
        <v>5323.01</v>
      </c>
      <c r="AG418" s="28">
        <f t="shared" si="155"/>
        <v>1.46</v>
      </c>
      <c r="AH418" s="28">
        <f t="shared" si="158"/>
        <v>325.79199999999997</v>
      </c>
      <c r="AI418" s="28">
        <f t="shared" si="137"/>
        <v>0</v>
      </c>
      <c r="AJ418" s="28">
        <f t="shared" si="156"/>
        <v>4995.7579999999998</v>
      </c>
      <c r="AK418" s="30">
        <f>'Report Inputs'!$F$2</f>
        <v>55.9</v>
      </c>
      <c r="AL418" s="28">
        <f>'Report Inputs'!$E$2</f>
        <v>1080</v>
      </c>
      <c r="AM418" s="28">
        <f t="shared" si="157"/>
        <v>101.544</v>
      </c>
      <c r="AN418" s="26" t="s">
        <v>744</v>
      </c>
      <c r="AS418" s="26" t="s">
        <v>76</v>
      </c>
      <c r="AT418" s="26" t="s">
        <v>77</v>
      </c>
      <c r="AU418" s="26" t="s">
        <v>78</v>
      </c>
      <c r="AV418" s="31">
        <f t="shared" ca="1" si="145"/>
        <v>42376.365371064814</v>
      </c>
    </row>
    <row r="419" spans="1:48">
      <c r="A419" s="26">
        <v>7</v>
      </c>
      <c r="B419" s="26">
        <f>MONTH('Report Inputs'!$B$2)</f>
        <v>11</v>
      </c>
      <c r="C419" s="26">
        <f>YEAR('Report Inputs'!$B$2)</f>
        <v>2015</v>
      </c>
      <c r="D419" s="26">
        <v>66571</v>
      </c>
      <c r="F419" s="26" t="s">
        <v>65</v>
      </c>
      <c r="G419" s="26" t="s">
        <v>66</v>
      </c>
      <c r="H419" s="26" t="s">
        <v>67</v>
      </c>
      <c r="I419" s="26" t="s">
        <v>68</v>
      </c>
      <c r="J419" s="26" t="s">
        <v>69</v>
      </c>
      <c r="K419" s="26">
        <v>713</v>
      </c>
      <c r="L419" s="26" t="s">
        <v>70</v>
      </c>
      <c r="M419" s="26">
        <v>713</v>
      </c>
      <c r="N419" s="26" t="s">
        <v>71</v>
      </c>
      <c r="O419" s="26" t="s">
        <v>72</v>
      </c>
      <c r="P419" s="26">
        <v>45</v>
      </c>
      <c r="Q419" s="27">
        <v>20725</v>
      </c>
      <c r="R419" s="26">
        <v>0</v>
      </c>
      <c r="S419" s="26" t="s">
        <v>952</v>
      </c>
      <c r="T419" s="26" t="s">
        <v>80</v>
      </c>
      <c r="U419" s="26" t="str">
        <f t="shared" si="147"/>
        <v>PR</v>
      </c>
      <c r="V419" s="26">
        <f t="shared" si="159"/>
        <v>30</v>
      </c>
      <c r="W419" s="26" t="s">
        <v>88</v>
      </c>
      <c r="X419" s="26">
        <v>4</v>
      </c>
      <c r="Y419" s="26" t="s">
        <v>74</v>
      </c>
      <c r="Z419" s="26" t="s">
        <v>75</v>
      </c>
      <c r="AA419" s="28">
        <f t="shared" si="150"/>
        <v>0.58799999999999997</v>
      </c>
      <c r="AB419" s="28">
        <f t="shared" si="151"/>
        <v>7.2510000000000003</v>
      </c>
      <c r="AC419" s="28">
        <f t="shared" si="152"/>
        <v>7.3410000000000002</v>
      </c>
      <c r="AD419" s="28">
        <f t="shared" si="160"/>
        <v>-1</v>
      </c>
      <c r="AE419" s="28">
        <f t="shared" si="153"/>
        <v>0.498</v>
      </c>
      <c r="AF419" s="28">
        <f t="shared" si="154"/>
        <v>4831.42</v>
      </c>
      <c r="AG419" s="28">
        <f t="shared" si="155"/>
        <v>1.31</v>
      </c>
      <c r="AH419" s="28">
        <f t="shared" si="158"/>
        <v>323.654</v>
      </c>
      <c r="AI419" s="28">
        <f t="shared" si="137"/>
        <v>0</v>
      </c>
      <c r="AJ419" s="28">
        <f t="shared" si="156"/>
        <v>4506.4560000000001</v>
      </c>
      <c r="AK419" s="30">
        <f>'Report Inputs'!$F$2</f>
        <v>55.9</v>
      </c>
      <c r="AL419" s="28">
        <f>'Report Inputs'!$E$2</f>
        <v>1080</v>
      </c>
      <c r="AM419" s="28">
        <f t="shared" si="157"/>
        <v>91.597999999999999</v>
      </c>
      <c r="AN419" s="26" t="s">
        <v>744</v>
      </c>
      <c r="AS419" s="26" t="s">
        <v>76</v>
      </c>
      <c r="AT419" s="26" t="s">
        <v>77</v>
      </c>
      <c r="AU419" s="26" t="s">
        <v>78</v>
      </c>
      <c r="AV419" s="31">
        <f t="shared" ca="1" si="145"/>
        <v>42376.365371064814</v>
      </c>
    </row>
    <row r="420" spans="1:48">
      <c r="A420" s="26">
        <v>7</v>
      </c>
      <c r="B420" s="26">
        <f>MONTH('Report Inputs'!$B$2)</f>
        <v>11</v>
      </c>
      <c r="C420" s="26">
        <f>YEAR('Report Inputs'!$B$2)</f>
        <v>2015</v>
      </c>
      <c r="D420" s="26">
        <v>66571</v>
      </c>
      <c r="F420" s="26" t="s">
        <v>65</v>
      </c>
      <c r="G420" s="26" t="s">
        <v>66</v>
      </c>
      <c r="H420" s="26" t="s">
        <v>67</v>
      </c>
      <c r="I420" s="26" t="s">
        <v>68</v>
      </c>
      <c r="J420" s="26" t="s">
        <v>69</v>
      </c>
      <c r="K420" s="26">
        <v>713</v>
      </c>
      <c r="L420" s="26" t="s">
        <v>70</v>
      </c>
      <c r="M420" s="26">
        <v>713</v>
      </c>
      <c r="N420" s="26" t="s">
        <v>71</v>
      </c>
      <c r="O420" s="26" t="s">
        <v>72</v>
      </c>
      <c r="P420" s="26">
        <v>45</v>
      </c>
      <c r="Q420" s="27">
        <v>20726</v>
      </c>
      <c r="R420" s="26">
        <v>0</v>
      </c>
      <c r="S420" s="26" t="s">
        <v>948</v>
      </c>
      <c r="T420" s="26" t="s">
        <v>80</v>
      </c>
      <c r="U420" s="26" t="str">
        <f t="shared" si="147"/>
        <v>PR</v>
      </c>
      <c r="V420" s="26">
        <f t="shared" si="159"/>
        <v>30</v>
      </c>
      <c r="W420" s="26" t="s">
        <v>88</v>
      </c>
      <c r="X420" s="26">
        <v>4</v>
      </c>
      <c r="Y420" s="26" t="s">
        <v>74</v>
      </c>
      <c r="Z420" s="26" t="s">
        <v>75</v>
      </c>
      <c r="AA420" s="28">
        <f t="shared" si="150"/>
        <v>0.59199999999999997</v>
      </c>
      <c r="AB420" s="28">
        <f t="shared" si="151"/>
        <v>7.1790000000000003</v>
      </c>
      <c r="AC420" s="28">
        <f t="shared" si="152"/>
        <v>7.2770000000000001</v>
      </c>
      <c r="AD420" s="28">
        <f t="shared" si="160"/>
        <v>-1</v>
      </c>
      <c r="AE420" s="28">
        <f t="shared" si="153"/>
        <v>0.49399999999999999</v>
      </c>
      <c r="AF420" s="28">
        <f t="shared" si="154"/>
        <v>4764.1499999999996</v>
      </c>
      <c r="AG420" s="28">
        <f t="shared" si="155"/>
        <v>1.3</v>
      </c>
      <c r="AH420" s="28">
        <f t="shared" si="158"/>
        <v>301.54599999999999</v>
      </c>
      <c r="AI420" s="28">
        <f t="shared" si="137"/>
        <v>0</v>
      </c>
      <c r="AJ420" s="28">
        <f t="shared" si="156"/>
        <v>4461.3040000000001</v>
      </c>
      <c r="AK420" s="30">
        <f>'Report Inputs'!$F$2</f>
        <v>55.9</v>
      </c>
      <c r="AL420" s="28">
        <f>'Report Inputs'!$E$2</f>
        <v>1080</v>
      </c>
      <c r="AM420" s="28">
        <f t="shared" si="157"/>
        <v>90.68</v>
      </c>
      <c r="AN420" s="26" t="s">
        <v>744</v>
      </c>
      <c r="AS420" s="26" t="s">
        <v>76</v>
      </c>
      <c r="AT420" s="26" t="s">
        <v>77</v>
      </c>
      <c r="AU420" s="26" t="s">
        <v>78</v>
      </c>
      <c r="AV420" s="31">
        <f t="shared" ca="1" si="145"/>
        <v>42376.365371064814</v>
      </c>
    </row>
    <row r="421" spans="1:48">
      <c r="A421" s="26">
        <v>7</v>
      </c>
      <c r="B421" s="26">
        <f>MONTH('Report Inputs'!$B$2)</f>
        <v>11</v>
      </c>
      <c r="C421" s="26">
        <f>YEAR('Report Inputs'!$B$2)</f>
        <v>2015</v>
      </c>
      <c r="D421" s="26">
        <v>66571</v>
      </c>
      <c r="F421" s="26" t="s">
        <v>65</v>
      </c>
      <c r="G421" s="26" t="s">
        <v>66</v>
      </c>
      <c r="H421" s="26" t="s">
        <v>67</v>
      </c>
      <c r="I421" s="26" t="s">
        <v>68</v>
      </c>
      <c r="J421" s="26" t="s">
        <v>69</v>
      </c>
      <c r="K421" s="26">
        <v>713</v>
      </c>
      <c r="L421" s="26" t="s">
        <v>70</v>
      </c>
      <c r="M421" s="26">
        <v>713</v>
      </c>
      <c r="N421" s="26" t="s">
        <v>71</v>
      </c>
      <c r="O421" s="26" t="s">
        <v>72</v>
      </c>
      <c r="P421" s="26">
        <v>45</v>
      </c>
      <c r="Q421" s="27">
        <v>20727</v>
      </c>
      <c r="R421" s="26">
        <v>0</v>
      </c>
      <c r="S421" s="26" t="s">
        <v>959</v>
      </c>
      <c r="T421" s="26" t="s">
        <v>80</v>
      </c>
      <c r="U421" s="26" t="str">
        <f t="shared" si="147"/>
        <v>PR</v>
      </c>
      <c r="V421" s="26">
        <f t="shared" si="159"/>
        <v>30</v>
      </c>
      <c r="W421" s="26" t="s">
        <v>88</v>
      </c>
      <c r="X421" s="26">
        <v>4</v>
      </c>
      <c r="Y421" s="26" t="s">
        <v>74</v>
      </c>
      <c r="Z421" s="26" t="s">
        <v>75</v>
      </c>
      <c r="AA421" s="28">
        <f t="shared" si="150"/>
        <v>0.58799999999999997</v>
      </c>
      <c r="AB421" s="28">
        <f t="shared" si="151"/>
        <v>8.19</v>
      </c>
      <c r="AC421" s="28">
        <f t="shared" si="152"/>
        <v>8.2219999999999995</v>
      </c>
      <c r="AD421" s="28">
        <f t="shared" si="160"/>
        <v>0</v>
      </c>
      <c r="AE421" s="28">
        <f t="shared" si="153"/>
        <v>0.55600000000000005</v>
      </c>
      <c r="AF421" s="28">
        <f t="shared" si="154"/>
        <v>5422.03</v>
      </c>
      <c r="AG421" s="28">
        <f t="shared" si="155"/>
        <v>1.48</v>
      </c>
      <c r="AH421" s="28">
        <v>331</v>
      </c>
      <c r="AI421" s="28">
        <f t="shared" si="137"/>
        <v>0</v>
      </c>
      <c r="AJ421" s="28">
        <f t="shared" si="156"/>
        <v>5090.4610000000002</v>
      </c>
      <c r="AK421" s="30">
        <f>'Report Inputs'!$F$2</f>
        <v>55.9</v>
      </c>
      <c r="AL421" s="28">
        <f>'Report Inputs'!$E$2</f>
        <v>1080</v>
      </c>
      <c r="AM421" s="28">
        <f t="shared" si="157"/>
        <v>103.468</v>
      </c>
      <c r="AN421" s="26" t="s">
        <v>744</v>
      </c>
      <c r="AS421" s="26" t="s">
        <v>76</v>
      </c>
      <c r="AT421" s="26" t="s">
        <v>77</v>
      </c>
      <c r="AU421" s="26" t="s">
        <v>78</v>
      </c>
      <c r="AV421" s="31">
        <f t="shared" ca="1" si="145"/>
        <v>42376.365371064814</v>
      </c>
    </row>
    <row r="422" spans="1:48">
      <c r="A422" s="26">
        <v>7</v>
      </c>
      <c r="B422" s="26">
        <f>MONTH('Report Inputs'!$B$2)</f>
        <v>11</v>
      </c>
      <c r="C422" s="26">
        <f>YEAR('Report Inputs'!$B$2)</f>
        <v>2015</v>
      </c>
      <c r="D422" s="26">
        <v>66571</v>
      </c>
      <c r="F422" s="26" t="s">
        <v>65</v>
      </c>
      <c r="G422" s="26" t="s">
        <v>66</v>
      </c>
      <c r="H422" s="26" t="s">
        <v>67</v>
      </c>
      <c r="I422" s="26" t="s">
        <v>68</v>
      </c>
      <c r="J422" s="26" t="s">
        <v>69</v>
      </c>
      <c r="K422" s="26">
        <v>713</v>
      </c>
      <c r="L422" s="26" t="s">
        <v>70</v>
      </c>
      <c r="M422" s="26">
        <v>713</v>
      </c>
      <c r="N422" s="26" t="s">
        <v>71</v>
      </c>
      <c r="O422" s="26" t="s">
        <v>72</v>
      </c>
      <c r="P422" s="26">
        <v>45</v>
      </c>
      <c r="Q422" s="27">
        <v>20728</v>
      </c>
      <c r="R422" s="26">
        <v>1</v>
      </c>
      <c r="S422" s="26" t="s">
        <v>949</v>
      </c>
      <c r="T422" s="26" t="s">
        <v>80</v>
      </c>
      <c r="U422" s="26" t="str">
        <f t="shared" si="147"/>
        <v>PR</v>
      </c>
      <c r="V422" s="26">
        <f t="shared" si="159"/>
        <v>30</v>
      </c>
      <c r="W422" s="26" t="s">
        <v>88</v>
      </c>
      <c r="X422" s="26">
        <v>4</v>
      </c>
      <c r="Y422" s="26" t="s">
        <v>74</v>
      </c>
      <c r="Z422" s="26" t="s">
        <v>75</v>
      </c>
      <c r="AA422" s="28">
        <f t="shared" si="150"/>
        <v>0.63500000000000001</v>
      </c>
      <c r="AB422" s="28">
        <f t="shared" si="151"/>
        <v>7.6459999999999999</v>
      </c>
      <c r="AC422" s="28">
        <f t="shared" si="152"/>
        <v>7.7549999999999999</v>
      </c>
      <c r="AD422" s="28">
        <f t="shared" si="160"/>
        <v>0</v>
      </c>
      <c r="AE422" s="28">
        <f t="shared" si="153"/>
        <v>0.52600000000000002</v>
      </c>
      <c r="AF422" s="28">
        <f t="shared" si="154"/>
        <v>5255.25</v>
      </c>
      <c r="AG422" s="28">
        <f t="shared" si="155"/>
        <v>1.38</v>
      </c>
      <c r="AH422" s="28">
        <f t="shared" si="158"/>
        <v>501.95</v>
      </c>
      <c r="AI422" s="28">
        <f t="shared" ref="AI422:AI459" si="161">ROUND(AF422,0)-ROUND(AG422,0)-ROUND(AH422,0)-ROUND(AJ422,0)</f>
        <v>0</v>
      </c>
      <c r="AJ422" s="28">
        <f t="shared" si="156"/>
        <v>4751.92</v>
      </c>
      <c r="AK422" s="30">
        <f>'Report Inputs'!$F$2</f>
        <v>55.9</v>
      </c>
      <c r="AL422" s="28">
        <f>'Report Inputs'!$E$2</f>
        <v>1080</v>
      </c>
      <c r="AM422" s="28">
        <f t="shared" si="157"/>
        <v>96.587000000000003</v>
      </c>
      <c r="AN422" s="26" t="s">
        <v>744</v>
      </c>
      <c r="AS422" s="26" t="s">
        <v>76</v>
      </c>
      <c r="AT422" s="26" t="s">
        <v>77</v>
      </c>
      <c r="AU422" s="26" t="s">
        <v>78</v>
      </c>
      <c r="AV422" s="31">
        <f t="shared" ca="1" si="145"/>
        <v>42376.365371064814</v>
      </c>
    </row>
    <row r="423" spans="1:48">
      <c r="A423" s="26">
        <v>7</v>
      </c>
      <c r="B423" s="26">
        <f>MONTH('Report Inputs'!$B$2)</f>
        <v>11</v>
      </c>
      <c r="C423" s="26">
        <f>YEAR('Report Inputs'!$B$2)</f>
        <v>2015</v>
      </c>
      <c r="D423" s="26">
        <v>66571</v>
      </c>
      <c r="F423" s="26" t="s">
        <v>65</v>
      </c>
      <c r="G423" s="26" t="s">
        <v>66</v>
      </c>
      <c r="H423" s="26" t="s">
        <v>67</v>
      </c>
      <c r="I423" s="26" t="s">
        <v>68</v>
      </c>
      <c r="J423" s="26" t="s">
        <v>69</v>
      </c>
      <c r="K423" s="26">
        <v>713</v>
      </c>
      <c r="L423" s="26" t="s">
        <v>70</v>
      </c>
      <c r="M423" s="26">
        <v>713</v>
      </c>
      <c r="N423" s="26" t="s">
        <v>71</v>
      </c>
      <c r="O423" s="26" t="s">
        <v>72</v>
      </c>
      <c r="P423" s="26">
        <v>45</v>
      </c>
      <c r="Q423" s="27">
        <v>20729</v>
      </c>
      <c r="R423" s="26">
        <v>1</v>
      </c>
      <c r="S423" s="26" t="s">
        <v>970</v>
      </c>
      <c r="T423" s="26" t="s">
        <v>80</v>
      </c>
      <c r="U423" s="26" t="str">
        <f t="shared" si="147"/>
        <v>PR</v>
      </c>
      <c r="V423" s="26">
        <f t="shared" si="159"/>
        <v>30</v>
      </c>
      <c r="W423" s="26" t="s">
        <v>88</v>
      </c>
      <c r="X423" s="26">
        <v>4</v>
      </c>
      <c r="Y423" s="26" t="s">
        <v>74</v>
      </c>
      <c r="Z423" s="26" t="s">
        <v>75</v>
      </c>
      <c r="AA423" s="28">
        <f t="shared" si="150"/>
        <v>0.39800000000000002</v>
      </c>
      <c r="AB423" s="28">
        <f t="shared" si="151"/>
        <v>4.907</v>
      </c>
      <c r="AC423" s="28">
        <f t="shared" si="152"/>
        <v>4.968</v>
      </c>
      <c r="AD423" s="28">
        <f t="shared" si="160"/>
        <v>0</v>
      </c>
      <c r="AE423" s="28">
        <f t="shared" si="153"/>
        <v>0.33700000000000002</v>
      </c>
      <c r="AF423" s="28">
        <f t="shared" si="154"/>
        <v>3287.54</v>
      </c>
      <c r="AG423" s="28">
        <f t="shared" si="155"/>
        <v>0.89</v>
      </c>
      <c r="AH423" s="28">
        <v>238</v>
      </c>
      <c r="AI423" s="28">
        <f t="shared" si="161"/>
        <v>0</v>
      </c>
      <c r="AJ423" s="28">
        <f t="shared" si="156"/>
        <v>3049.1680000000001</v>
      </c>
      <c r="AK423" s="30">
        <f>'Report Inputs'!$F$2</f>
        <v>55.9</v>
      </c>
      <c r="AL423" s="28">
        <f>'Report Inputs'!$E$2</f>
        <v>1080</v>
      </c>
      <c r="AM423" s="28">
        <f t="shared" si="157"/>
        <v>61.978000000000002</v>
      </c>
      <c r="AN423" s="26" t="s">
        <v>744</v>
      </c>
      <c r="AS423" s="26" t="s">
        <v>76</v>
      </c>
      <c r="AT423" s="26" t="s">
        <v>77</v>
      </c>
      <c r="AU423" s="26" t="s">
        <v>78</v>
      </c>
      <c r="AV423" s="31">
        <f t="shared" ca="1" si="145"/>
        <v>42376.365371064814</v>
      </c>
    </row>
    <row r="424" spans="1:48">
      <c r="A424" s="26">
        <v>7</v>
      </c>
      <c r="B424" s="26">
        <f>MONTH('Report Inputs'!$B$2)</f>
        <v>11</v>
      </c>
      <c r="C424" s="26">
        <f>YEAR('Report Inputs'!$B$2)</f>
        <v>2015</v>
      </c>
      <c r="D424" s="26">
        <v>66571</v>
      </c>
      <c r="F424" s="26" t="s">
        <v>65</v>
      </c>
      <c r="G424" s="26" t="s">
        <v>66</v>
      </c>
      <c r="H424" s="26" t="s">
        <v>67</v>
      </c>
      <c r="I424" s="26" t="s">
        <v>68</v>
      </c>
      <c r="J424" s="26" t="s">
        <v>69</v>
      </c>
      <c r="K424" s="26">
        <v>713</v>
      </c>
      <c r="L424" s="26" t="s">
        <v>70</v>
      </c>
      <c r="M424" s="26">
        <v>713</v>
      </c>
      <c r="N424" s="26" t="s">
        <v>71</v>
      </c>
      <c r="O424" s="26" t="s">
        <v>72</v>
      </c>
      <c r="P424" s="26">
        <v>45</v>
      </c>
      <c r="Q424" s="27">
        <v>20954</v>
      </c>
      <c r="R424" s="26">
        <v>0</v>
      </c>
      <c r="S424" s="26" t="s">
        <v>999</v>
      </c>
      <c r="T424" s="26" t="s">
        <v>80</v>
      </c>
      <c r="U424" s="26" t="str">
        <f t="shared" si="147"/>
        <v>PR</v>
      </c>
      <c r="V424" s="26">
        <f t="shared" si="159"/>
        <v>30</v>
      </c>
      <c r="W424" s="26" t="s">
        <v>103</v>
      </c>
      <c r="X424" s="26">
        <v>8</v>
      </c>
      <c r="Y424" s="26" t="s">
        <v>74</v>
      </c>
      <c r="Z424" s="26" t="s">
        <v>75</v>
      </c>
      <c r="AA424" s="28">
        <f t="shared" si="150"/>
        <v>0.64600000000000002</v>
      </c>
      <c r="AB424" s="28">
        <f t="shared" si="151"/>
        <v>5.5410000000000004</v>
      </c>
      <c r="AC424" s="28">
        <f t="shared" si="152"/>
        <v>5.7869999999999999</v>
      </c>
      <c r="AD424" s="28">
        <f t="shared" si="160"/>
        <v>-1</v>
      </c>
      <c r="AE424" s="28">
        <f t="shared" si="153"/>
        <v>0.4</v>
      </c>
      <c r="AF424" s="28">
        <f t="shared" si="154"/>
        <v>4173.1099999999997</v>
      </c>
      <c r="AG424" s="28">
        <f t="shared" si="155"/>
        <v>0.99</v>
      </c>
      <c r="AH424" s="28">
        <f t="shared" si="158"/>
        <v>390.00299999999999</v>
      </c>
      <c r="AI424" s="28">
        <f t="shared" si="161"/>
        <v>0</v>
      </c>
      <c r="AJ424" s="28">
        <f t="shared" si="156"/>
        <v>3782.1170000000002</v>
      </c>
      <c r="AK424" s="30">
        <f>'Report Inputs'!$F$2</f>
        <v>55.9</v>
      </c>
      <c r="AL424" s="28">
        <f>'Report Inputs'!$E$2</f>
        <v>1080</v>
      </c>
      <c r="AM424" s="28">
        <f t="shared" si="157"/>
        <v>193.88900000000001</v>
      </c>
      <c r="AN424" s="26" t="s">
        <v>744</v>
      </c>
      <c r="AS424" s="26" t="s">
        <v>76</v>
      </c>
      <c r="AT424" s="26" t="s">
        <v>77</v>
      </c>
      <c r="AU424" s="26" t="s">
        <v>78</v>
      </c>
      <c r="AV424" s="31">
        <f t="shared" ca="1" si="145"/>
        <v>42376.365370717591</v>
      </c>
    </row>
    <row r="425" spans="1:48">
      <c r="A425" s="26">
        <v>7</v>
      </c>
      <c r="B425" s="26">
        <f>MONTH('Report Inputs'!$B$2)</f>
        <v>11</v>
      </c>
      <c r="C425" s="26">
        <f>YEAR('Report Inputs'!$B$2)</f>
        <v>2015</v>
      </c>
      <c r="D425" s="26">
        <v>66571</v>
      </c>
      <c r="F425" s="26" t="s">
        <v>65</v>
      </c>
      <c r="G425" s="26" t="s">
        <v>66</v>
      </c>
      <c r="H425" s="26" t="s">
        <v>67</v>
      </c>
      <c r="I425" s="26" t="s">
        <v>68</v>
      </c>
      <c r="J425" s="26" t="s">
        <v>69</v>
      </c>
      <c r="K425" s="26">
        <v>713</v>
      </c>
      <c r="L425" s="26" t="s">
        <v>70</v>
      </c>
      <c r="M425" s="26">
        <v>713</v>
      </c>
      <c r="N425" s="26" t="s">
        <v>71</v>
      </c>
      <c r="O425" s="26" t="s">
        <v>72</v>
      </c>
      <c r="P425" s="26">
        <v>45</v>
      </c>
      <c r="Q425" s="27">
        <v>20955</v>
      </c>
      <c r="R425" s="26">
        <v>0</v>
      </c>
      <c r="S425" s="26" t="s">
        <v>983</v>
      </c>
      <c r="T425" s="26" t="s">
        <v>80</v>
      </c>
      <c r="U425" s="26" t="str">
        <f t="shared" si="147"/>
        <v>PR</v>
      </c>
      <c r="V425" s="26">
        <f t="shared" si="159"/>
        <v>30</v>
      </c>
      <c r="W425" s="26" t="s">
        <v>103</v>
      </c>
      <c r="X425" s="26">
        <v>8</v>
      </c>
      <c r="Y425" s="26" t="s">
        <v>74</v>
      </c>
      <c r="Z425" s="26" t="s">
        <v>75</v>
      </c>
      <c r="AA425" s="28">
        <f t="shared" si="150"/>
        <v>0.61099999999999999</v>
      </c>
      <c r="AB425" s="28">
        <f t="shared" si="151"/>
        <v>5.3280000000000003</v>
      </c>
      <c r="AC425" s="28">
        <f t="shared" si="152"/>
        <v>5.5570000000000004</v>
      </c>
      <c r="AD425" s="28">
        <f t="shared" si="160"/>
        <v>0</v>
      </c>
      <c r="AE425" s="28">
        <f t="shared" si="153"/>
        <v>0.38200000000000001</v>
      </c>
      <c r="AF425" s="28">
        <f t="shared" si="154"/>
        <v>3901.2</v>
      </c>
      <c r="AG425" s="28">
        <f t="shared" si="155"/>
        <v>0.95</v>
      </c>
      <c r="AH425" s="28">
        <f t="shared" si="158"/>
        <v>264.11099999999999</v>
      </c>
      <c r="AI425" s="28">
        <f t="shared" si="161"/>
        <v>0</v>
      </c>
      <c r="AJ425" s="28">
        <f t="shared" si="156"/>
        <v>3636.1390000000001</v>
      </c>
      <c r="AK425" s="30">
        <f>'Report Inputs'!$F$2</f>
        <v>55.9</v>
      </c>
      <c r="AL425" s="28">
        <f>'Report Inputs'!$E$2</f>
        <v>1080</v>
      </c>
      <c r="AM425" s="28">
        <f t="shared" si="157"/>
        <v>186.40600000000001</v>
      </c>
      <c r="AN425" s="26" t="s">
        <v>744</v>
      </c>
      <c r="AS425" s="26" t="s">
        <v>76</v>
      </c>
      <c r="AT425" s="26" t="s">
        <v>77</v>
      </c>
      <c r="AU425" s="26" t="s">
        <v>78</v>
      </c>
      <c r="AV425" s="31">
        <f t="shared" ca="1" si="145"/>
        <v>42376.365371064814</v>
      </c>
    </row>
    <row r="426" spans="1:48">
      <c r="A426" s="26">
        <v>7</v>
      </c>
      <c r="B426" s="26">
        <f>MONTH('Report Inputs'!$B$2)</f>
        <v>11</v>
      </c>
      <c r="C426" s="26">
        <f>YEAR('Report Inputs'!$B$2)</f>
        <v>2015</v>
      </c>
      <c r="D426" s="26">
        <v>66571</v>
      </c>
      <c r="F426" s="26" t="s">
        <v>65</v>
      </c>
      <c r="G426" s="26" t="s">
        <v>66</v>
      </c>
      <c r="H426" s="26" t="s">
        <v>67</v>
      </c>
      <c r="I426" s="26" t="s">
        <v>68</v>
      </c>
      <c r="J426" s="26" t="s">
        <v>69</v>
      </c>
      <c r="K426" s="26">
        <v>713</v>
      </c>
      <c r="L426" s="26" t="s">
        <v>70</v>
      </c>
      <c r="M426" s="26">
        <v>713</v>
      </c>
      <c r="N426" s="26" t="s">
        <v>71</v>
      </c>
      <c r="O426" s="26" t="s">
        <v>72</v>
      </c>
      <c r="P426" s="26">
        <v>45</v>
      </c>
      <c r="Q426" s="27">
        <v>20956</v>
      </c>
      <c r="R426" s="26">
        <v>0</v>
      </c>
      <c r="S426" s="26" t="s">
        <v>998</v>
      </c>
      <c r="T426" s="26" t="s">
        <v>80</v>
      </c>
      <c r="U426" s="26" t="str">
        <f t="shared" si="147"/>
        <v>PR</v>
      </c>
      <c r="V426" s="26">
        <f t="shared" si="159"/>
        <v>30</v>
      </c>
      <c r="W426" s="26" t="s">
        <v>103</v>
      </c>
      <c r="X426" s="26">
        <v>8</v>
      </c>
      <c r="Y426" s="26" t="s">
        <v>74</v>
      </c>
      <c r="Z426" s="26" t="s">
        <v>75</v>
      </c>
      <c r="AA426" s="28">
        <f t="shared" si="150"/>
        <v>0.747</v>
      </c>
      <c r="AB426" s="28">
        <f t="shared" si="151"/>
        <v>6.5</v>
      </c>
      <c r="AC426" s="28">
        <f t="shared" si="152"/>
        <v>6.7779999999999996</v>
      </c>
      <c r="AD426" s="28">
        <f t="shared" si="160"/>
        <v>-1</v>
      </c>
      <c r="AE426" s="28">
        <f t="shared" si="153"/>
        <v>0.46899999999999997</v>
      </c>
      <c r="AF426" s="28">
        <f t="shared" si="154"/>
        <v>4738.3100000000004</v>
      </c>
      <c r="AG426" s="28">
        <f t="shared" si="155"/>
        <v>1.1599999999999999</v>
      </c>
      <c r="AH426" s="28">
        <f t="shared" si="158"/>
        <v>300.43099999999998</v>
      </c>
      <c r="AI426" s="28">
        <f t="shared" si="161"/>
        <v>0</v>
      </c>
      <c r="AJ426" s="28">
        <f t="shared" si="156"/>
        <v>4436.7190000000001</v>
      </c>
      <c r="AK426" s="30">
        <f>'Report Inputs'!$F$2</f>
        <v>55.9</v>
      </c>
      <c r="AL426" s="28">
        <f>'Report Inputs'!$E$2</f>
        <v>1080</v>
      </c>
      <c r="AM426" s="28">
        <f t="shared" si="157"/>
        <v>227.447</v>
      </c>
      <c r="AN426" s="26" t="s">
        <v>744</v>
      </c>
      <c r="AS426" s="26" t="s">
        <v>76</v>
      </c>
      <c r="AT426" s="26" t="s">
        <v>77</v>
      </c>
      <c r="AU426" s="26" t="s">
        <v>78</v>
      </c>
      <c r="AV426" s="31">
        <f t="shared" ca="1" si="145"/>
        <v>42376.365370717591</v>
      </c>
    </row>
    <row r="427" spans="1:48">
      <c r="A427" s="26">
        <v>7</v>
      </c>
      <c r="B427" s="26">
        <f>MONTH('Report Inputs'!$B$2)</f>
        <v>11</v>
      </c>
      <c r="C427" s="26">
        <f>YEAR('Report Inputs'!$B$2)</f>
        <v>2015</v>
      </c>
      <c r="D427" s="26">
        <v>66571</v>
      </c>
      <c r="F427" s="26" t="s">
        <v>65</v>
      </c>
      <c r="G427" s="26" t="s">
        <v>66</v>
      </c>
      <c r="H427" s="26" t="s">
        <v>67</v>
      </c>
      <c r="I427" s="26" t="s">
        <v>68</v>
      </c>
      <c r="J427" s="26" t="s">
        <v>69</v>
      </c>
      <c r="K427" s="26">
        <v>713</v>
      </c>
      <c r="L427" s="26" t="s">
        <v>70</v>
      </c>
      <c r="M427" s="26">
        <v>713</v>
      </c>
      <c r="N427" s="26" t="s">
        <v>71</v>
      </c>
      <c r="O427" s="26" t="s">
        <v>72</v>
      </c>
      <c r="P427" s="26">
        <v>45</v>
      </c>
      <c r="Q427" s="27">
        <v>20957</v>
      </c>
      <c r="R427" s="26">
        <v>0</v>
      </c>
      <c r="S427" s="26" t="s">
        <v>986</v>
      </c>
      <c r="T427" s="26" t="s">
        <v>80</v>
      </c>
      <c r="U427" s="26" t="str">
        <f t="shared" si="147"/>
        <v>PR</v>
      </c>
      <c r="V427" s="26">
        <f t="shared" si="159"/>
        <v>30</v>
      </c>
      <c r="W427" s="26" t="s">
        <v>103</v>
      </c>
      <c r="X427" s="26">
        <v>8</v>
      </c>
      <c r="Y427" s="26" t="s">
        <v>74</v>
      </c>
      <c r="Z427" s="26" t="s">
        <v>75</v>
      </c>
      <c r="AA427" s="28">
        <f t="shared" si="150"/>
        <v>0.71699999999999997</v>
      </c>
      <c r="AB427" s="28">
        <f t="shared" si="151"/>
        <v>6.2619999999999996</v>
      </c>
      <c r="AC427" s="28">
        <f t="shared" si="152"/>
        <v>6.5289999999999999</v>
      </c>
      <c r="AD427" s="28">
        <f t="shared" si="160"/>
        <v>0</v>
      </c>
      <c r="AE427" s="28">
        <f t="shared" si="153"/>
        <v>0.45</v>
      </c>
      <c r="AF427" s="28">
        <f t="shared" si="154"/>
        <v>4681.29</v>
      </c>
      <c r="AG427" s="28">
        <f t="shared" si="155"/>
        <v>1.1200000000000001</v>
      </c>
      <c r="AH427" s="28">
        <f t="shared" si="158"/>
        <v>405.97699999999998</v>
      </c>
      <c r="AI427" s="28">
        <f t="shared" si="161"/>
        <v>0</v>
      </c>
      <c r="AJ427" s="28">
        <f t="shared" si="156"/>
        <v>4274.1930000000002</v>
      </c>
      <c r="AK427" s="30">
        <f>'Report Inputs'!$F$2</f>
        <v>55.9</v>
      </c>
      <c r="AL427" s="28">
        <f>'Report Inputs'!$E$2</f>
        <v>1080</v>
      </c>
      <c r="AM427" s="28">
        <f t="shared" si="157"/>
        <v>219.11600000000001</v>
      </c>
      <c r="AN427" s="26" t="s">
        <v>744</v>
      </c>
      <c r="AS427" s="26" t="s">
        <v>76</v>
      </c>
      <c r="AT427" s="26" t="s">
        <v>77</v>
      </c>
      <c r="AU427" s="26" t="s">
        <v>78</v>
      </c>
      <c r="AV427" s="31">
        <f t="shared" ca="1" si="145"/>
        <v>42376.365371064814</v>
      </c>
    </row>
    <row r="428" spans="1:48">
      <c r="A428" s="26">
        <v>7</v>
      </c>
      <c r="B428" s="26">
        <f>MONTH('Report Inputs'!$B$2)</f>
        <v>11</v>
      </c>
      <c r="C428" s="26">
        <f>YEAR('Report Inputs'!$B$2)</f>
        <v>2015</v>
      </c>
      <c r="D428" s="26">
        <v>66571</v>
      </c>
      <c r="F428" s="26" t="s">
        <v>65</v>
      </c>
      <c r="G428" s="26" t="s">
        <v>66</v>
      </c>
      <c r="H428" s="26" t="s">
        <v>67</v>
      </c>
      <c r="I428" s="26" t="s">
        <v>68</v>
      </c>
      <c r="J428" s="26" t="s">
        <v>69</v>
      </c>
      <c r="K428" s="26">
        <v>713</v>
      </c>
      <c r="L428" s="26" t="s">
        <v>70</v>
      </c>
      <c r="M428" s="26">
        <v>713</v>
      </c>
      <c r="N428" s="26" t="s">
        <v>71</v>
      </c>
      <c r="O428" s="26" t="s">
        <v>72</v>
      </c>
      <c r="P428" s="26">
        <v>45</v>
      </c>
      <c r="Q428" s="27">
        <v>20959</v>
      </c>
      <c r="R428" s="26">
        <v>0</v>
      </c>
      <c r="S428" s="26" t="s">
        <v>997</v>
      </c>
      <c r="T428" s="26" t="s">
        <v>80</v>
      </c>
      <c r="U428" s="26" t="str">
        <f t="shared" si="147"/>
        <v>PR</v>
      </c>
      <c r="V428" s="26">
        <f t="shared" si="159"/>
        <v>30</v>
      </c>
      <c r="W428" s="26" t="s">
        <v>103</v>
      </c>
      <c r="X428" s="26">
        <v>8</v>
      </c>
      <c r="Y428" s="26" t="s">
        <v>74</v>
      </c>
      <c r="Z428" s="26" t="s">
        <v>75</v>
      </c>
      <c r="AA428" s="28">
        <f t="shared" si="150"/>
        <v>0.55200000000000005</v>
      </c>
      <c r="AB428" s="28">
        <f t="shared" si="151"/>
        <v>4.7919999999999998</v>
      </c>
      <c r="AC428" s="28">
        <f t="shared" si="152"/>
        <v>4.9989999999999997</v>
      </c>
      <c r="AD428" s="28">
        <f t="shared" si="160"/>
        <v>-1</v>
      </c>
      <c r="AE428" s="28">
        <f t="shared" si="153"/>
        <v>0.34499999999999997</v>
      </c>
      <c r="AF428" s="28">
        <f t="shared" si="154"/>
        <v>3631.93</v>
      </c>
      <c r="AG428" s="28">
        <f t="shared" si="155"/>
        <v>0.86</v>
      </c>
      <c r="AH428" s="28">
        <f t="shared" si="158"/>
        <v>360.44799999999998</v>
      </c>
      <c r="AI428" s="28">
        <f t="shared" si="161"/>
        <v>0</v>
      </c>
      <c r="AJ428" s="28">
        <f t="shared" si="156"/>
        <v>3270.6219999999998</v>
      </c>
      <c r="AK428" s="30">
        <f>'Report Inputs'!$F$2</f>
        <v>55.9</v>
      </c>
      <c r="AL428" s="28">
        <f>'Report Inputs'!$E$2</f>
        <v>1080</v>
      </c>
      <c r="AM428" s="28">
        <f t="shared" si="157"/>
        <v>167.667</v>
      </c>
      <c r="AN428" s="26" t="s">
        <v>744</v>
      </c>
      <c r="AS428" s="26" t="s">
        <v>76</v>
      </c>
      <c r="AT428" s="26" t="s">
        <v>77</v>
      </c>
      <c r="AU428" s="26" t="s">
        <v>78</v>
      </c>
      <c r="AV428" s="31">
        <f t="shared" ca="1" si="145"/>
        <v>42376.365370717591</v>
      </c>
    </row>
    <row r="429" spans="1:48">
      <c r="A429" s="26">
        <v>7</v>
      </c>
      <c r="B429" s="26">
        <f>MONTH('Report Inputs'!$B$2)</f>
        <v>11</v>
      </c>
      <c r="C429" s="26">
        <f>YEAR('Report Inputs'!$B$2)</f>
        <v>2015</v>
      </c>
      <c r="D429" s="26">
        <v>66571</v>
      </c>
      <c r="F429" s="26" t="s">
        <v>65</v>
      </c>
      <c r="G429" s="26" t="s">
        <v>66</v>
      </c>
      <c r="H429" s="26" t="s">
        <v>67</v>
      </c>
      <c r="I429" s="26" t="s">
        <v>68</v>
      </c>
      <c r="J429" s="26" t="s">
        <v>69</v>
      </c>
      <c r="K429" s="26">
        <v>713</v>
      </c>
      <c r="L429" s="26" t="s">
        <v>70</v>
      </c>
      <c r="M429" s="26">
        <v>713</v>
      </c>
      <c r="N429" s="26" t="s">
        <v>71</v>
      </c>
      <c r="O429" s="26" t="s">
        <v>72</v>
      </c>
      <c r="P429" s="26">
        <v>45</v>
      </c>
      <c r="Q429" s="27">
        <v>20960</v>
      </c>
      <c r="R429" s="26">
        <v>0</v>
      </c>
      <c r="S429" s="26" t="s">
        <v>985</v>
      </c>
      <c r="T429" s="26" t="s">
        <v>80</v>
      </c>
      <c r="U429" s="26" t="str">
        <f t="shared" si="147"/>
        <v>PR</v>
      </c>
      <c r="V429" s="26">
        <f t="shared" si="159"/>
        <v>30</v>
      </c>
      <c r="W429" s="26" t="s">
        <v>103</v>
      </c>
      <c r="X429" s="26">
        <v>8</v>
      </c>
      <c r="Y429" s="26" t="s">
        <v>74</v>
      </c>
      <c r="Z429" s="26" t="s">
        <v>75</v>
      </c>
      <c r="AA429" s="28">
        <f t="shared" si="150"/>
        <v>0.59599999999999997</v>
      </c>
      <c r="AB429" s="28">
        <f t="shared" si="151"/>
        <v>5.1180000000000003</v>
      </c>
      <c r="AC429" s="28">
        <f t="shared" si="152"/>
        <v>5.343</v>
      </c>
      <c r="AD429" s="28">
        <f t="shared" si="160"/>
        <v>-1</v>
      </c>
      <c r="AE429" s="28">
        <f t="shared" si="153"/>
        <v>0.371</v>
      </c>
      <c r="AF429" s="28">
        <f t="shared" si="154"/>
        <v>3864.49</v>
      </c>
      <c r="AG429" s="28">
        <f t="shared" si="155"/>
        <v>0.92</v>
      </c>
      <c r="AH429" s="28">
        <v>370</v>
      </c>
      <c r="AI429" s="28">
        <f t="shared" si="161"/>
        <v>0</v>
      </c>
      <c r="AJ429" s="28">
        <f t="shared" si="156"/>
        <v>3493.0320000000002</v>
      </c>
      <c r="AK429" s="30">
        <f>'Report Inputs'!$F$2</f>
        <v>55.9</v>
      </c>
      <c r="AL429" s="28">
        <f>'Report Inputs'!$E$2</f>
        <v>1080</v>
      </c>
      <c r="AM429" s="28">
        <f t="shared" si="157"/>
        <v>179.07</v>
      </c>
      <c r="AN429" s="26" t="s">
        <v>744</v>
      </c>
      <c r="AS429" s="26" t="s">
        <v>76</v>
      </c>
      <c r="AT429" s="26" t="s">
        <v>77</v>
      </c>
      <c r="AU429" s="26" t="s">
        <v>78</v>
      </c>
      <c r="AV429" s="31">
        <f t="shared" ca="1" si="145"/>
        <v>42376.365371064814</v>
      </c>
    </row>
    <row r="430" spans="1:48">
      <c r="A430" s="26">
        <v>7</v>
      </c>
      <c r="B430" s="26">
        <f>MONTH('Report Inputs'!$B$2)</f>
        <v>11</v>
      </c>
      <c r="C430" s="26">
        <f>YEAR('Report Inputs'!$B$2)</f>
        <v>2015</v>
      </c>
      <c r="D430" s="26">
        <v>66571</v>
      </c>
      <c r="F430" s="26" t="s">
        <v>65</v>
      </c>
      <c r="G430" s="26" t="s">
        <v>66</v>
      </c>
      <c r="H430" s="26" t="s">
        <v>67</v>
      </c>
      <c r="I430" s="26" t="s">
        <v>68</v>
      </c>
      <c r="J430" s="26" t="s">
        <v>69</v>
      </c>
      <c r="K430" s="26">
        <v>713</v>
      </c>
      <c r="L430" s="26" t="s">
        <v>70</v>
      </c>
      <c r="M430" s="26">
        <v>713</v>
      </c>
      <c r="N430" s="26" t="s">
        <v>71</v>
      </c>
      <c r="O430" s="26" t="s">
        <v>72</v>
      </c>
      <c r="P430" s="26">
        <v>45</v>
      </c>
      <c r="Q430" s="27">
        <v>20963</v>
      </c>
      <c r="R430" s="26">
        <v>0</v>
      </c>
      <c r="S430" s="26" t="s">
        <v>1002</v>
      </c>
      <c r="T430" s="26" t="s">
        <v>80</v>
      </c>
      <c r="U430" s="26" t="s">
        <v>1025</v>
      </c>
      <c r="V430" s="26">
        <f t="shared" si="159"/>
        <v>0</v>
      </c>
      <c r="W430" s="26" t="s">
        <v>103</v>
      </c>
      <c r="X430" s="26">
        <v>8</v>
      </c>
      <c r="Y430" s="26" t="s">
        <v>74</v>
      </c>
      <c r="Z430" s="26" t="s">
        <v>75</v>
      </c>
      <c r="AA430" s="28">
        <f t="shared" si="150"/>
        <v>0</v>
      </c>
      <c r="AB430" s="28">
        <f t="shared" si="151"/>
        <v>0</v>
      </c>
      <c r="AC430" s="28">
        <f t="shared" si="152"/>
        <v>0</v>
      </c>
      <c r="AD430" s="28">
        <f t="shared" si="160"/>
        <v>0</v>
      </c>
      <c r="AE430" s="28">
        <f t="shared" si="153"/>
        <v>0</v>
      </c>
      <c r="AF430" s="28">
        <f t="shared" si="154"/>
        <v>0</v>
      </c>
      <c r="AG430" s="28">
        <f t="shared" si="155"/>
        <v>0</v>
      </c>
      <c r="AH430" s="28">
        <f t="shared" si="158"/>
        <v>0</v>
      </c>
      <c r="AI430" s="28">
        <f t="shared" si="161"/>
        <v>0</v>
      </c>
      <c r="AJ430" s="28">
        <f t="shared" si="156"/>
        <v>0</v>
      </c>
      <c r="AM430" s="28">
        <f t="shared" si="157"/>
        <v>0</v>
      </c>
      <c r="AN430" s="26" t="s">
        <v>744</v>
      </c>
      <c r="AS430" s="26" t="s">
        <v>76</v>
      </c>
      <c r="AT430" s="26" t="s">
        <v>77</v>
      </c>
      <c r="AU430" s="26" t="s">
        <v>78</v>
      </c>
      <c r="AV430" s="31">
        <f t="shared" ca="1" si="145"/>
        <v>42376.365370717591</v>
      </c>
    </row>
    <row r="431" spans="1:48">
      <c r="A431" s="26">
        <v>7</v>
      </c>
      <c r="B431" s="26">
        <f>MONTH('Report Inputs'!$B$2)</f>
        <v>11</v>
      </c>
      <c r="C431" s="26">
        <f>YEAR('Report Inputs'!$B$2)</f>
        <v>2015</v>
      </c>
      <c r="D431" s="26">
        <v>66571</v>
      </c>
      <c r="F431" s="26" t="s">
        <v>65</v>
      </c>
      <c r="G431" s="26" t="s">
        <v>66</v>
      </c>
      <c r="H431" s="26" t="s">
        <v>67</v>
      </c>
      <c r="I431" s="26" t="s">
        <v>68</v>
      </c>
      <c r="J431" s="26" t="s">
        <v>69</v>
      </c>
      <c r="K431" s="26">
        <v>713</v>
      </c>
      <c r="L431" s="26" t="s">
        <v>70</v>
      </c>
      <c r="M431" s="26">
        <v>713</v>
      </c>
      <c r="N431" s="26" t="s">
        <v>71</v>
      </c>
      <c r="O431" s="26" t="s">
        <v>72</v>
      </c>
      <c r="P431" s="26">
        <v>45</v>
      </c>
      <c r="Q431" s="27">
        <v>20964</v>
      </c>
      <c r="R431" s="26">
        <v>0</v>
      </c>
      <c r="S431" s="26" t="s">
        <v>988</v>
      </c>
      <c r="T431" s="26" t="s">
        <v>80</v>
      </c>
      <c r="U431" s="26" t="str">
        <f t="shared" si="147"/>
        <v>PR</v>
      </c>
      <c r="V431" s="26">
        <f t="shared" si="159"/>
        <v>30</v>
      </c>
      <c r="W431" s="26" t="s">
        <v>103</v>
      </c>
      <c r="X431" s="26">
        <v>8</v>
      </c>
      <c r="Y431" s="26" t="s">
        <v>74</v>
      </c>
      <c r="Z431" s="26" t="s">
        <v>75</v>
      </c>
      <c r="AA431" s="28">
        <f t="shared" si="150"/>
        <v>0.34200000000000003</v>
      </c>
      <c r="AB431" s="28">
        <f t="shared" si="151"/>
        <v>3.0880000000000001</v>
      </c>
      <c r="AC431" s="28">
        <f t="shared" si="152"/>
        <v>3.2080000000000002</v>
      </c>
      <c r="AD431" s="28">
        <f t="shared" si="160"/>
        <v>0</v>
      </c>
      <c r="AE431" s="28">
        <f t="shared" si="153"/>
        <v>0.222</v>
      </c>
      <c r="AF431" s="28">
        <f t="shared" si="154"/>
        <v>2303.1</v>
      </c>
      <c r="AG431" s="28">
        <f t="shared" si="155"/>
        <v>0.55000000000000004</v>
      </c>
      <c r="AH431" s="28">
        <v>194</v>
      </c>
      <c r="AI431" s="28">
        <f t="shared" si="161"/>
        <v>0</v>
      </c>
      <c r="AJ431" s="28">
        <f t="shared" si="156"/>
        <v>2107.777</v>
      </c>
      <c r="AK431" s="30">
        <f>'Report Inputs'!$F$2</f>
        <v>55.9</v>
      </c>
      <c r="AL431" s="28">
        <f>'Report Inputs'!$E$2</f>
        <v>1080</v>
      </c>
      <c r="AM431" s="28">
        <f t="shared" si="157"/>
        <v>108.05500000000001</v>
      </c>
      <c r="AN431" s="26" t="s">
        <v>744</v>
      </c>
      <c r="AS431" s="26" t="s">
        <v>76</v>
      </c>
      <c r="AT431" s="26" t="s">
        <v>77</v>
      </c>
      <c r="AU431" s="26" t="s">
        <v>78</v>
      </c>
      <c r="AV431" s="31">
        <f t="shared" ca="1" si="145"/>
        <v>42376.365370717591</v>
      </c>
    </row>
    <row r="432" spans="1:48">
      <c r="A432" s="26">
        <v>7</v>
      </c>
      <c r="B432" s="26">
        <f>MONTH('Report Inputs'!$B$2)</f>
        <v>11</v>
      </c>
      <c r="C432" s="26">
        <f>YEAR('Report Inputs'!$B$2)</f>
        <v>2015</v>
      </c>
      <c r="D432" s="26">
        <v>66571</v>
      </c>
      <c r="F432" s="26" t="s">
        <v>65</v>
      </c>
      <c r="G432" s="26" t="s">
        <v>66</v>
      </c>
      <c r="H432" s="26" t="s">
        <v>67</v>
      </c>
      <c r="I432" s="26" t="s">
        <v>68</v>
      </c>
      <c r="J432" s="26" t="s">
        <v>69</v>
      </c>
      <c r="K432" s="26">
        <v>713</v>
      </c>
      <c r="L432" s="26" t="s">
        <v>70</v>
      </c>
      <c r="M432" s="26">
        <v>713</v>
      </c>
      <c r="N432" s="26" t="s">
        <v>71</v>
      </c>
      <c r="O432" s="26" t="s">
        <v>72</v>
      </c>
      <c r="P432" s="26">
        <v>45</v>
      </c>
      <c r="Q432" s="27">
        <v>20967</v>
      </c>
      <c r="R432" s="26">
        <v>0</v>
      </c>
      <c r="S432" s="26" t="s">
        <v>1000</v>
      </c>
      <c r="T432" s="26" t="s">
        <v>80</v>
      </c>
      <c r="U432" s="26" t="str">
        <f t="shared" si="147"/>
        <v>PR</v>
      </c>
      <c r="V432" s="26">
        <f t="shared" si="159"/>
        <v>30</v>
      </c>
      <c r="W432" s="26" t="s">
        <v>103</v>
      </c>
      <c r="X432" s="26">
        <v>8</v>
      </c>
      <c r="Y432" s="26" t="s">
        <v>74</v>
      </c>
      <c r="Z432" s="26" t="s">
        <v>75</v>
      </c>
      <c r="AA432" s="28">
        <f t="shared" si="150"/>
        <v>0.745</v>
      </c>
      <c r="AB432" s="28">
        <f t="shared" si="151"/>
        <v>6.5039999999999996</v>
      </c>
      <c r="AC432" s="28">
        <f t="shared" si="152"/>
        <v>6.78</v>
      </c>
      <c r="AD432" s="28">
        <f t="shared" si="160"/>
        <v>-1</v>
      </c>
      <c r="AE432" s="28">
        <f t="shared" si="153"/>
        <v>0.46899999999999997</v>
      </c>
      <c r="AF432" s="28">
        <f t="shared" si="154"/>
        <v>4853.63</v>
      </c>
      <c r="AG432" s="28">
        <f t="shared" si="155"/>
        <v>1.1599999999999999</v>
      </c>
      <c r="AH432" s="28">
        <v>414</v>
      </c>
      <c r="AI432" s="28">
        <f t="shared" si="161"/>
        <v>0</v>
      </c>
      <c r="AJ432" s="28">
        <f t="shared" si="156"/>
        <v>4439.0150000000003</v>
      </c>
      <c r="AK432" s="30">
        <f>'Report Inputs'!$F$2</f>
        <v>55.9</v>
      </c>
      <c r="AL432" s="28">
        <f>'Report Inputs'!$E$2</f>
        <v>1080</v>
      </c>
      <c r="AM432" s="28">
        <f t="shared" si="157"/>
        <v>227.565</v>
      </c>
      <c r="AN432" s="26" t="s">
        <v>744</v>
      </c>
      <c r="AS432" s="26" t="s">
        <v>76</v>
      </c>
      <c r="AT432" s="26" t="s">
        <v>77</v>
      </c>
      <c r="AU432" s="26" t="s">
        <v>78</v>
      </c>
      <c r="AV432" s="31">
        <f t="shared" ca="1" si="145"/>
        <v>42376.365370717591</v>
      </c>
    </row>
    <row r="433" spans="1:48">
      <c r="A433" s="26">
        <v>7</v>
      </c>
      <c r="B433" s="26">
        <f>MONTH('Report Inputs'!$B$2)</f>
        <v>11</v>
      </c>
      <c r="C433" s="26">
        <f>YEAR('Report Inputs'!$B$2)</f>
        <v>2015</v>
      </c>
      <c r="D433" s="26">
        <v>66571</v>
      </c>
      <c r="F433" s="26" t="s">
        <v>65</v>
      </c>
      <c r="G433" s="26" t="s">
        <v>66</v>
      </c>
      <c r="H433" s="26" t="s">
        <v>67</v>
      </c>
      <c r="I433" s="26" t="s">
        <v>68</v>
      </c>
      <c r="J433" s="26" t="s">
        <v>69</v>
      </c>
      <c r="K433" s="26">
        <v>713</v>
      </c>
      <c r="L433" s="26" t="s">
        <v>70</v>
      </c>
      <c r="M433" s="26">
        <v>713</v>
      </c>
      <c r="N433" s="26" t="s">
        <v>71</v>
      </c>
      <c r="O433" s="26" t="s">
        <v>72</v>
      </c>
      <c r="P433" s="26">
        <v>45</v>
      </c>
      <c r="Q433" s="27">
        <v>20968</v>
      </c>
      <c r="R433" s="26">
        <v>0</v>
      </c>
      <c r="S433" s="26" t="s">
        <v>989</v>
      </c>
      <c r="T433" s="26" t="s">
        <v>80</v>
      </c>
      <c r="U433" s="26" t="str">
        <f t="shared" si="147"/>
        <v>PR</v>
      </c>
      <c r="V433" s="26">
        <f t="shared" si="159"/>
        <v>30</v>
      </c>
      <c r="W433" s="26" t="s">
        <v>103</v>
      </c>
      <c r="X433" s="26">
        <v>8</v>
      </c>
      <c r="Y433" s="26" t="s">
        <v>74</v>
      </c>
      <c r="Z433" s="26" t="s">
        <v>75</v>
      </c>
      <c r="AA433" s="28">
        <f t="shared" si="150"/>
        <v>0.47499999999999998</v>
      </c>
      <c r="AB433" s="28">
        <f t="shared" si="151"/>
        <v>4.2880000000000003</v>
      </c>
      <c r="AC433" s="28">
        <f t="shared" si="152"/>
        <v>4.4560000000000004</v>
      </c>
      <c r="AD433" s="28">
        <f t="shared" si="160"/>
        <v>0</v>
      </c>
      <c r="AE433" s="28">
        <f t="shared" si="153"/>
        <v>0.307</v>
      </c>
      <c r="AF433" s="28">
        <f t="shared" si="154"/>
        <v>3275.93</v>
      </c>
      <c r="AG433" s="28">
        <f t="shared" si="155"/>
        <v>0.77</v>
      </c>
      <c r="AH433" s="28">
        <f t="shared" si="158"/>
        <v>347.767</v>
      </c>
      <c r="AI433" s="28">
        <f t="shared" si="161"/>
        <v>0</v>
      </c>
      <c r="AJ433" s="28">
        <f t="shared" si="156"/>
        <v>2927.393</v>
      </c>
      <c r="AK433" s="30">
        <f>'Report Inputs'!$F$2</f>
        <v>55.9</v>
      </c>
      <c r="AL433" s="28">
        <f>'Report Inputs'!$E$2</f>
        <v>1080</v>
      </c>
      <c r="AM433" s="28">
        <f t="shared" si="157"/>
        <v>150.072</v>
      </c>
      <c r="AN433" s="26" t="s">
        <v>744</v>
      </c>
      <c r="AS433" s="26" t="s">
        <v>76</v>
      </c>
      <c r="AT433" s="26" t="s">
        <v>77</v>
      </c>
      <c r="AU433" s="26" t="s">
        <v>78</v>
      </c>
      <c r="AV433" s="31">
        <f t="shared" ca="1" si="145"/>
        <v>42376.365370717591</v>
      </c>
    </row>
    <row r="434" spans="1:48">
      <c r="A434" s="26">
        <v>7</v>
      </c>
      <c r="B434" s="26">
        <f>MONTH('Report Inputs'!$B$2)</f>
        <v>11</v>
      </c>
      <c r="C434" s="26">
        <f>YEAR('Report Inputs'!$B$2)</f>
        <v>2015</v>
      </c>
      <c r="D434" s="26">
        <v>66571</v>
      </c>
      <c r="F434" s="26" t="s">
        <v>65</v>
      </c>
      <c r="G434" s="26" t="s">
        <v>66</v>
      </c>
      <c r="H434" s="26" t="s">
        <v>67</v>
      </c>
      <c r="I434" s="26" t="s">
        <v>68</v>
      </c>
      <c r="J434" s="26" t="s">
        <v>69</v>
      </c>
      <c r="K434" s="26">
        <v>713</v>
      </c>
      <c r="L434" s="26" t="s">
        <v>70</v>
      </c>
      <c r="M434" s="26">
        <v>713</v>
      </c>
      <c r="N434" s="26" t="s">
        <v>71</v>
      </c>
      <c r="O434" s="26" t="s">
        <v>72</v>
      </c>
      <c r="P434" s="26">
        <v>45</v>
      </c>
      <c r="Q434" s="27">
        <v>20970</v>
      </c>
      <c r="R434" s="26">
        <v>0</v>
      </c>
      <c r="S434" s="26" t="s">
        <v>1001</v>
      </c>
      <c r="T434" s="26" t="s">
        <v>80</v>
      </c>
      <c r="U434" s="26" t="s">
        <v>1025</v>
      </c>
      <c r="V434" s="26">
        <f t="shared" si="159"/>
        <v>0</v>
      </c>
      <c r="W434" s="26" t="s">
        <v>103</v>
      </c>
      <c r="X434" s="26">
        <v>8</v>
      </c>
      <c r="Y434" s="26" t="s">
        <v>74</v>
      </c>
      <c r="Z434" s="26" t="s">
        <v>75</v>
      </c>
      <c r="AA434" s="28">
        <f t="shared" si="150"/>
        <v>0</v>
      </c>
      <c r="AB434" s="28">
        <f t="shared" si="151"/>
        <v>0</v>
      </c>
      <c r="AC434" s="28">
        <f t="shared" si="152"/>
        <v>0</v>
      </c>
      <c r="AD434" s="28">
        <f t="shared" si="160"/>
        <v>0</v>
      </c>
      <c r="AE434" s="28">
        <f t="shared" si="153"/>
        <v>0</v>
      </c>
      <c r="AF434" s="28">
        <f t="shared" si="154"/>
        <v>0</v>
      </c>
      <c r="AG434" s="28">
        <f t="shared" si="155"/>
        <v>0</v>
      </c>
      <c r="AH434" s="28">
        <f t="shared" si="158"/>
        <v>0</v>
      </c>
      <c r="AI434" s="28">
        <f t="shared" si="161"/>
        <v>0</v>
      </c>
      <c r="AJ434" s="28">
        <f t="shared" si="156"/>
        <v>0</v>
      </c>
      <c r="AM434" s="28">
        <f t="shared" si="157"/>
        <v>0</v>
      </c>
      <c r="AN434" s="26" t="s">
        <v>744</v>
      </c>
      <c r="AS434" s="26" t="s">
        <v>76</v>
      </c>
      <c r="AT434" s="26" t="s">
        <v>77</v>
      </c>
      <c r="AU434" s="26" t="s">
        <v>78</v>
      </c>
      <c r="AV434" s="31">
        <f t="shared" ca="1" si="145"/>
        <v>42376.365370717591</v>
      </c>
    </row>
    <row r="435" spans="1:48">
      <c r="A435" s="26">
        <v>7</v>
      </c>
      <c r="B435" s="26">
        <f>MONTH('Report Inputs'!$B$2)</f>
        <v>11</v>
      </c>
      <c r="C435" s="26">
        <f>YEAR('Report Inputs'!$B$2)</f>
        <v>2015</v>
      </c>
      <c r="D435" s="26">
        <v>66571</v>
      </c>
      <c r="F435" s="26" t="s">
        <v>65</v>
      </c>
      <c r="G435" s="26" t="s">
        <v>66</v>
      </c>
      <c r="H435" s="26" t="s">
        <v>67</v>
      </c>
      <c r="I435" s="26" t="s">
        <v>68</v>
      </c>
      <c r="J435" s="26" t="s">
        <v>69</v>
      </c>
      <c r="K435" s="26">
        <v>713</v>
      </c>
      <c r="L435" s="26" t="s">
        <v>70</v>
      </c>
      <c r="M435" s="26">
        <v>713</v>
      </c>
      <c r="N435" s="26" t="s">
        <v>71</v>
      </c>
      <c r="O435" s="26" t="s">
        <v>72</v>
      </c>
      <c r="P435" s="26">
        <v>45</v>
      </c>
      <c r="Q435" s="27">
        <v>20971</v>
      </c>
      <c r="R435" s="26">
        <v>0</v>
      </c>
      <c r="S435" s="26" t="s">
        <v>982</v>
      </c>
      <c r="T435" s="26" t="s">
        <v>80</v>
      </c>
      <c r="U435" s="26" t="str">
        <f t="shared" si="147"/>
        <v>PR</v>
      </c>
      <c r="V435" s="26">
        <f t="shared" si="159"/>
        <v>30</v>
      </c>
      <c r="W435" s="26" t="s">
        <v>103</v>
      </c>
      <c r="X435" s="26">
        <v>8</v>
      </c>
      <c r="Y435" s="26" t="s">
        <v>74</v>
      </c>
      <c r="Z435" s="26" t="s">
        <v>75</v>
      </c>
      <c r="AA435" s="28">
        <f t="shared" si="150"/>
        <v>0.67700000000000005</v>
      </c>
      <c r="AB435" s="28">
        <f t="shared" si="151"/>
        <v>5.4749999999999996</v>
      </c>
      <c r="AC435" s="28">
        <f t="shared" si="152"/>
        <v>5.7539999999999996</v>
      </c>
      <c r="AD435" s="28">
        <f t="shared" si="160"/>
        <v>0</v>
      </c>
      <c r="AE435" s="28">
        <f t="shared" si="153"/>
        <v>0.39800000000000002</v>
      </c>
      <c r="AF435" s="28">
        <f t="shared" si="154"/>
        <v>4006.83</v>
      </c>
      <c r="AG435" s="28">
        <f t="shared" si="155"/>
        <v>0.98</v>
      </c>
      <c r="AH435" s="28">
        <f t="shared" si="158"/>
        <v>268.69299999999998</v>
      </c>
      <c r="AI435" s="28">
        <f t="shared" si="161"/>
        <v>0</v>
      </c>
      <c r="AJ435" s="28">
        <f t="shared" si="156"/>
        <v>3737.1570000000002</v>
      </c>
      <c r="AK435" s="30">
        <f>'Report Inputs'!$F$2</f>
        <v>55.9</v>
      </c>
      <c r="AL435" s="28">
        <f>'Report Inputs'!$E$2</f>
        <v>1080</v>
      </c>
      <c r="AM435" s="28">
        <f t="shared" si="157"/>
        <v>191.584</v>
      </c>
      <c r="AN435" s="26" t="s">
        <v>744</v>
      </c>
      <c r="AS435" s="26" t="s">
        <v>76</v>
      </c>
      <c r="AT435" s="26" t="s">
        <v>77</v>
      </c>
      <c r="AU435" s="26" t="s">
        <v>78</v>
      </c>
      <c r="AV435" s="31">
        <f t="shared" ca="1" si="145"/>
        <v>42376.365371064814</v>
      </c>
    </row>
    <row r="436" spans="1:48">
      <c r="A436" s="26">
        <v>7</v>
      </c>
      <c r="B436" s="26">
        <f>MONTH('Report Inputs'!$B$2)</f>
        <v>11</v>
      </c>
      <c r="C436" s="26">
        <f>YEAR('Report Inputs'!$B$2)</f>
        <v>2015</v>
      </c>
      <c r="D436" s="26">
        <v>66571</v>
      </c>
      <c r="F436" s="26" t="s">
        <v>65</v>
      </c>
      <c r="G436" s="26" t="s">
        <v>66</v>
      </c>
      <c r="H436" s="26" t="s">
        <v>67</v>
      </c>
      <c r="I436" s="26" t="s">
        <v>68</v>
      </c>
      <c r="J436" s="26" t="s">
        <v>69</v>
      </c>
      <c r="K436" s="26">
        <v>713</v>
      </c>
      <c r="L436" s="26" t="s">
        <v>70</v>
      </c>
      <c r="M436" s="26">
        <v>713</v>
      </c>
      <c r="N436" s="26" t="s">
        <v>71</v>
      </c>
      <c r="O436" s="26" t="s">
        <v>72</v>
      </c>
      <c r="P436" s="26">
        <v>45</v>
      </c>
      <c r="Q436" s="27">
        <v>20972</v>
      </c>
      <c r="R436" s="26">
        <v>0</v>
      </c>
      <c r="S436" s="26" t="s">
        <v>987</v>
      </c>
      <c r="T436" s="26" t="s">
        <v>80</v>
      </c>
      <c r="U436" s="26" t="s">
        <v>1025</v>
      </c>
      <c r="V436" s="26">
        <f t="shared" si="159"/>
        <v>0</v>
      </c>
      <c r="W436" s="26" t="s">
        <v>103</v>
      </c>
      <c r="X436" s="26">
        <v>8</v>
      </c>
      <c r="Y436" s="26" t="s">
        <v>74</v>
      </c>
      <c r="Z436" s="26" t="s">
        <v>75</v>
      </c>
      <c r="AA436" s="28">
        <f t="shared" si="150"/>
        <v>0</v>
      </c>
      <c r="AB436" s="28">
        <f t="shared" si="151"/>
        <v>0</v>
      </c>
      <c r="AC436" s="28">
        <f t="shared" si="152"/>
        <v>0</v>
      </c>
      <c r="AD436" s="28">
        <f t="shared" si="160"/>
        <v>0</v>
      </c>
      <c r="AE436" s="28">
        <f t="shared" si="153"/>
        <v>0</v>
      </c>
      <c r="AF436" s="28">
        <f t="shared" si="154"/>
        <v>0</v>
      </c>
      <c r="AG436" s="28">
        <f t="shared" si="155"/>
        <v>0</v>
      </c>
      <c r="AH436" s="28">
        <f t="shared" si="158"/>
        <v>0</v>
      </c>
      <c r="AI436" s="28">
        <f t="shared" si="161"/>
        <v>0</v>
      </c>
      <c r="AJ436" s="28">
        <f t="shared" si="156"/>
        <v>0</v>
      </c>
      <c r="AM436" s="28">
        <f t="shared" si="157"/>
        <v>0</v>
      </c>
      <c r="AN436" s="26" t="s">
        <v>744</v>
      </c>
      <c r="AS436" s="26" t="s">
        <v>76</v>
      </c>
      <c r="AT436" s="26" t="s">
        <v>77</v>
      </c>
      <c r="AU436" s="26" t="s">
        <v>78</v>
      </c>
      <c r="AV436" s="31">
        <f t="shared" ca="1" si="145"/>
        <v>42376.365370717591</v>
      </c>
    </row>
    <row r="437" spans="1:48">
      <c r="A437" s="26">
        <v>7</v>
      </c>
      <c r="B437" s="26">
        <f>MONTH('Report Inputs'!$B$2)</f>
        <v>11</v>
      </c>
      <c r="C437" s="26">
        <f>YEAR('Report Inputs'!$B$2)</f>
        <v>2015</v>
      </c>
      <c r="D437" s="26">
        <v>66571</v>
      </c>
      <c r="F437" s="26" t="s">
        <v>65</v>
      </c>
      <c r="G437" s="26" t="s">
        <v>66</v>
      </c>
      <c r="H437" s="26" t="s">
        <v>67</v>
      </c>
      <c r="I437" s="26" t="s">
        <v>68</v>
      </c>
      <c r="J437" s="26" t="s">
        <v>69</v>
      </c>
      <c r="K437" s="26">
        <v>713</v>
      </c>
      <c r="L437" s="26" t="s">
        <v>70</v>
      </c>
      <c r="M437" s="26">
        <v>713</v>
      </c>
      <c r="N437" s="26" t="s">
        <v>71</v>
      </c>
      <c r="O437" s="26" t="s">
        <v>72</v>
      </c>
      <c r="P437" s="26">
        <v>45</v>
      </c>
      <c r="Q437" s="27">
        <v>21281</v>
      </c>
      <c r="R437" s="26">
        <v>0</v>
      </c>
      <c r="S437" s="26" t="s">
        <v>992</v>
      </c>
      <c r="T437" s="26" t="s">
        <v>80</v>
      </c>
      <c r="U437" s="26" t="str">
        <f t="shared" si="147"/>
        <v>PR</v>
      </c>
      <c r="V437" s="26">
        <f t="shared" si="159"/>
        <v>30</v>
      </c>
      <c r="W437" s="26" t="s">
        <v>991</v>
      </c>
      <c r="X437" s="26">
        <v>3</v>
      </c>
      <c r="Y437" s="26" t="s">
        <v>194</v>
      </c>
      <c r="Z437" s="26" t="s">
        <v>75</v>
      </c>
      <c r="AA437" s="28">
        <f t="shared" si="150"/>
        <v>2.0659999999999998</v>
      </c>
      <c r="AB437" s="28">
        <f t="shared" si="151"/>
        <v>31.617999999999999</v>
      </c>
      <c r="AC437" s="28">
        <f t="shared" si="152"/>
        <v>31.681999999999999</v>
      </c>
      <c r="AD437" s="28">
        <f t="shared" si="160"/>
        <v>0</v>
      </c>
      <c r="AE437" s="28">
        <f t="shared" si="153"/>
        <v>2.0019999999999998</v>
      </c>
      <c r="AF437" s="28">
        <f t="shared" si="154"/>
        <v>17253.89</v>
      </c>
      <c r="AG437" s="28">
        <f t="shared" si="155"/>
        <v>5.84</v>
      </c>
      <c r="AH437" s="28">
        <f t="shared" si="158"/>
        <v>843.38</v>
      </c>
      <c r="AI437" s="28">
        <f t="shared" si="161"/>
        <v>0</v>
      </c>
      <c r="AJ437" s="28">
        <f t="shared" si="156"/>
        <v>16404.669999999998</v>
      </c>
      <c r="AK437" s="30">
        <f>'Report Inputs'!$F$2</f>
        <v>55.9</v>
      </c>
      <c r="AL437" s="28">
        <f>'Report Inputs'!$E$2</f>
        <v>1080</v>
      </c>
      <c r="AM437" s="28">
        <f t="shared" si="157"/>
        <v>76.730999999999995</v>
      </c>
      <c r="AN437" s="26" t="s">
        <v>744</v>
      </c>
      <c r="AS437" s="26" t="s">
        <v>76</v>
      </c>
      <c r="AT437" s="26" t="s">
        <v>77</v>
      </c>
      <c r="AU437" s="26" t="s">
        <v>78</v>
      </c>
      <c r="AV437" s="31">
        <f t="shared" ca="1" si="145"/>
        <v>42376.365370717591</v>
      </c>
    </row>
    <row r="438" spans="1:48">
      <c r="A438" s="26">
        <v>7</v>
      </c>
      <c r="B438" s="26">
        <f>MONTH('Report Inputs'!$B$2)</f>
        <v>11</v>
      </c>
      <c r="C438" s="26">
        <f>YEAR('Report Inputs'!$B$2)</f>
        <v>2015</v>
      </c>
      <c r="D438" s="26">
        <v>66571</v>
      </c>
      <c r="F438" s="26" t="s">
        <v>65</v>
      </c>
      <c r="G438" s="26" t="s">
        <v>66</v>
      </c>
      <c r="H438" s="26" t="s">
        <v>67</v>
      </c>
      <c r="I438" s="26" t="s">
        <v>68</v>
      </c>
      <c r="J438" s="26" t="s">
        <v>69</v>
      </c>
      <c r="K438" s="26">
        <v>713</v>
      </c>
      <c r="L438" s="26" t="s">
        <v>70</v>
      </c>
      <c r="M438" s="26">
        <v>713</v>
      </c>
      <c r="N438" s="26" t="s">
        <v>71</v>
      </c>
      <c r="O438" s="26" t="s">
        <v>72</v>
      </c>
      <c r="P438" s="26">
        <v>45</v>
      </c>
      <c r="Q438" s="27">
        <v>21283</v>
      </c>
      <c r="R438" s="26">
        <v>0</v>
      </c>
      <c r="S438" s="26" t="s">
        <v>994</v>
      </c>
      <c r="T438" s="26" t="s">
        <v>80</v>
      </c>
      <c r="U438" s="26" t="str">
        <f t="shared" si="147"/>
        <v>PR</v>
      </c>
      <c r="V438" s="26">
        <f t="shared" si="159"/>
        <v>30</v>
      </c>
      <c r="W438" s="26" t="s">
        <v>991</v>
      </c>
      <c r="X438" s="26">
        <v>3</v>
      </c>
      <c r="Y438" s="26" t="s">
        <v>194</v>
      </c>
      <c r="Z438" s="26" t="s">
        <v>75</v>
      </c>
      <c r="AA438" s="28">
        <f t="shared" si="150"/>
        <v>2.3860000000000001</v>
      </c>
      <c r="AB438" s="28">
        <f t="shared" si="151"/>
        <v>37.798000000000002</v>
      </c>
      <c r="AC438" s="28">
        <f t="shared" si="152"/>
        <v>37.798000000000002</v>
      </c>
      <c r="AD438" s="28">
        <f t="shared" si="160"/>
        <v>0</v>
      </c>
      <c r="AE438" s="28">
        <f t="shared" si="153"/>
        <v>2.3860000000000001</v>
      </c>
      <c r="AF438" s="28">
        <f t="shared" si="154"/>
        <v>20607.73</v>
      </c>
      <c r="AG438" s="28">
        <f t="shared" si="155"/>
        <v>6.98</v>
      </c>
      <c r="AH438" s="28">
        <f t="shared" si="158"/>
        <v>988.88099999999997</v>
      </c>
      <c r="AI438" s="28">
        <f t="shared" si="161"/>
        <v>0</v>
      </c>
      <c r="AJ438" s="28">
        <f t="shared" si="156"/>
        <v>19611.868999999999</v>
      </c>
      <c r="AK438" s="30">
        <f>'Report Inputs'!$F$2</f>
        <v>55.9</v>
      </c>
      <c r="AL438" s="28">
        <f>'Report Inputs'!$E$2</f>
        <v>1080</v>
      </c>
      <c r="AM438" s="28">
        <f t="shared" si="157"/>
        <v>91.731999999999999</v>
      </c>
      <c r="AN438" s="26" t="s">
        <v>744</v>
      </c>
      <c r="AS438" s="26" t="s">
        <v>76</v>
      </c>
      <c r="AT438" s="26" t="s">
        <v>77</v>
      </c>
      <c r="AU438" s="26" t="s">
        <v>78</v>
      </c>
      <c r="AV438" s="31">
        <f t="shared" ca="1" si="145"/>
        <v>42376.365370717591</v>
      </c>
    </row>
    <row r="439" spans="1:48">
      <c r="A439" s="26">
        <v>7</v>
      </c>
      <c r="B439" s="26">
        <f>MONTH('Report Inputs'!$B$2)</f>
        <v>11</v>
      </c>
      <c r="C439" s="26">
        <f>YEAR('Report Inputs'!$B$2)</f>
        <v>2015</v>
      </c>
      <c r="D439" s="26">
        <v>66571</v>
      </c>
      <c r="F439" s="26" t="s">
        <v>65</v>
      </c>
      <c r="G439" s="26" t="s">
        <v>66</v>
      </c>
      <c r="H439" s="26" t="s">
        <v>67</v>
      </c>
      <c r="I439" s="26" t="s">
        <v>68</v>
      </c>
      <c r="J439" s="26" t="s">
        <v>69</v>
      </c>
      <c r="K439" s="26">
        <v>713</v>
      </c>
      <c r="L439" s="26" t="s">
        <v>70</v>
      </c>
      <c r="M439" s="26">
        <v>713</v>
      </c>
      <c r="N439" s="26" t="s">
        <v>71</v>
      </c>
      <c r="O439" s="26" t="s">
        <v>72</v>
      </c>
      <c r="P439" s="26">
        <v>45</v>
      </c>
      <c r="Q439" s="27">
        <v>21285</v>
      </c>
      <c r="R439" s="26">
        <v>0</v>
      </c>
      <c r="S439" s="26" t="s">
        <v>990</v>
      </c>
      <c r="T439" s="26" t="s">
        <v>80</v>
      </c>
      <c r="U439" s="26" t="str">
        <f t="shared" si="147"/>
        <v>PR</v>
      </c>
      <c r="V439" s="26">
        <f t="shared" si="159"/>
        <v>30</v>
      </c>
      <c r="W439" s="26" t="s">
        <v>991</v>
      </c>
      <c r="X439" s="26">
        <v>3</v>
      </c>
      <c r="Y439" s="26" t="s">
        <v>194</v>
      </c>
      <c r="Z439" s="26" t="s">
        <v>75</v>
      </c>
      <c r="AA439" s="28">
        <f t="shared" si="150"/>
        <v>0.93300000000000005</v>
      </c>
      <c r="AB439" s="28">
        <f t="shared" si="151"/>
        <v>14.337</v>
      </c>
      <c r="AC439" s="28">
        <f t="shared" si="152"/>
        <v>14.363</v>
      </c>
      <c r="AD439" s="28">
        <f t="shared" si="160"/>
        <v>0</v>
      </c>
      <c r="AE439" s="28">
        <f t="shared" si="153"/>
        <v>0.90700000000000003</v>
      </c>
      <c r="AF439" s="28">
        <f t="shared" si="154"/>
        <v>7882.07</v>
      </c>
      <c r="AG439" s="28">
        <f t="shared" si="155"/>
        <v>2.65</v>
      </c>
      <c r="AH439" s="28">
        <f t="shared" si="158"/>
        <v>440.11900000000003</v>
      </c>
      <c r="AI439" s="28">
        <f t="shared" si="161"/>
        <v>0</v>
      </c>
      <c r="AJ439" s="28">
        <f t="shared" si="156"/>
        <v>7439.3010000000004</v>
      </c>
      <c r="AK439" s="30">
        <f>'Report Inputs'!$F$2</f>
        <v>55.9</v>
      </c>
      <c r="AL439" s="28">
        <f>'Report Inputs'!$E$2</f>
        <v>1080</v>
      </c>
      <c r="AM439" s="28">
        <f t="shared" si="157"/>
        <v>34.795999999999999</v>
      </c>
      <c r="AN439" s="26" t="s">
        <v>744</v>
      </c>
      <c r="AS439" s="26" t="s">
        <v>76</v>
      </c>
      <c r="AT439" s="26" t="s">
        <v>77</v>
      </c>
      <c r="AU439" s="26" t="s">
        <v>78</v>
      </c>
      <c r="AV439" s="31">
        <f t="shared" ca="1" si="145"/>
        <v>42376.365370717591</v>
      </c>
    </row>
    <row r="440" spans="1:48">
      <c r="A440" s="26">
        <v>7</v>
      </c>
      <c r="B440" s="26">
        <f>MONTH('Report Inputs'!$B$2)</f>
        <v>11</v>
      </c>
      <c r="C440" s="26">
        <f>YEAR('Report Inputs'!$B$2)</f>
        <v>2015</v>
      </c>
      <c r="D440" s="26">
        <v>66571</v>
      </c>
      <c r="F440" s="26" t="s">
        <v>65</v>
      </c>
      <c r="G440" s="26" t="s">
        <v>66</v>
      </c>
      <c r="H440" s="26" t="s">
        <v>67</v>
      </c>
      <c r="I440" s="26" t="s">
        <v>68</v>
      </c>
      <c r="J440" s="26" t="s">
        <v>69</v>
      </c>
      <c r="K440" s="26">
        <v>713</v>
      </c>
      <c r="L440" s="26" t="s">
        <v>70</v>
      </c>
      <c r="M440" s="26">
        <v>713</v>
      </c>
      <c r="N440" s="26" t="s">
        <v>71</v>
      </c>
      <c r="O440" s="26" t="s">
        <v>72</v>
      </c>
      <c r="P440" s="26">
        <v>45</v>
      </c>
      <c r="Q440" s="27">
        <v>21441</v>
      </c>
      <c r="R440" s="26">
        <v>0</v>
      </c>
      <c r="S440" s="26" t="s">
        <v>993</v>
      </c>
      <c r="T440" s="26" t="s">
        <v>80</v>
      </c>
      <c r="U440" s="26" t="str">
        <f t="shared" si="147"/>
        <v>PR</v>
      </c>
      <c r="V440" s="26">
        <f t="shared" si="159"/>
        <v>30</v>
      </c>
      <c r="W440" s="26" t="s">
        <v>991</v>
      </c>
      <c r="X440" s="26">
        <v>3</v>
      </c>
      <c r="Y440" s="26" t="s">
        <v>194</v>
      </c>
      <c r="Z440" s="26" t="s">
        <v>75</v>
      </c>
      <c r="AA440" s="28">
        <f t="shared" si="150"/>
        <v>1.0469999999999999</v>
      </c>
      <c r="AB440" s="28">
        <f t="shared" si="151"/>
        <v>16.094000000000001</v>
      </c>
      <c r="AC440" s="28">
        <f t="shared" si="152"/>
        <v>16.122</v>
      </c>
      <c r="AD440" s="28">
        <f t="shared" si="160"/>
        <v>0</v>
      </c>
      <c r="AE440" s="28">
        <f t="shared" si="153"/>
        <v>1.0189999999999999</v>
      </c>
      <c r="AF440" s="28">
        <f t="shared" si="154"/>
        <v>8831.42</v>
      </c>
      <c r="AG440" s="28">
        <f t="shared" si="155"/>
        <v>2.97</v>
      </c>
      <c r="AH440" s="28">
        <f t="shared" si="158"/>
        <v>477.98500000000001</v>
      </c>
      <c r="AI440" s="28">
        <f t="shared" si="161"/>
        <v>0</v>
      </c>
      <c r="AJ440" s="28">
        <f t="shared" si="156"/>
        <v>8350.4650000000001</v>
      </c>
      <c r="AK440" s="30">
        <f>'Report Inputs'!$F$2</f>
        <v>55.9</v>
      </c>
      <c r="AL440" s="28">
        <f>'Report Inputs'!$E$2</f>
        <v>1080</v>
      </c>
      <c r="AM440" s="28">
        <f t="shared" si="157"/>
        <v>39.058</v>
      </c>
      <c r="AN440" s="26" t="s">
        <v>744</v>
      </c>
      <c r="AS440" s="26" t="s">
        <v>76</v>
      </c>
      <c r="AT440" s="26" t="s">
        <v>77</v>
      </c>
      <c r="AU440" s="26" t="s">
        <v>78</v>
      </c>
      <c r="AV440" s="31">
        <f t="shared" ca="1" si="145"/>
        <v>42376.365370717591</v>
      </c>
    </row>
    <row r="441" spans="1:48">
      <c r="A441" s="26">
        <v>7</v>
      </c>
      <c r="B441" s="26">
        <f>MONTH('Report Inputs'!$B$2)</f>
        <v>11</v>
      </c>
      <c r="C441" s="26">
        <f>YEAR('Report Inputs'!$B$2)</f>
        <v>2015</v>
      </c>
      <c r="D441" s="26">
        <v>66571</v>
      </c>
      <c r="F441" s="26" t="s">
        <v>65</v>
      </c>
      <c r="G441" s="26" t="s">
        <v>66</v>
      </c>
      <c r="H441" s="26" t="s">
        <v>67</v>
      </c>
      <c r="I441" s="26" t="s">
        <v>68</v>
      </c>
      <c r="J441" s="26" t="s">
        <v>69</v>
      </c>
      <c r="K441" s="26">
        <v>713</v>
      </c>
      <c r="L441" s="26" t="s">
        <v>70</v>
      </c>
      <c r="M441" s="26">
        <v>713</v>
      </c>
      <c r="N441" s="26" t="s">
        <v>71</v>
      </c>
      <c r="O441" s="26" t="s">
        <v>72</v>
      </c>
      <c r="P441" s="26">
        <v>45</v>
      </c>
      <c r="Q441" s="27">
        <v>21442</v>
      </c>
      <c r="R441" s="26">
        <v>0</v>
      </c>
      <c r="S441" s="26" t="s">
        <v>996</v>
      </c>
      <c r="T441" s="26" t="s">
        <v>80</v>
      </c>
      <c r="U441" s="26" t="str">
        <f t="shared" si="147"/>
        <v>PR</v>
      </c>
      <c r="V441" s="26">
        <f t="shared" si="159"/>
        <v>30</v>
      </c>
      <c r="W441" s="26" t="s">
        <v>1008</v>
      </c>
      <c r="X441" s="26">
        <v>3</v>
      </c>
      <c r="Y441" s="26" t="s">
        <v>194</v>
      </c>
      <c r="Z441" s="26" t="s">
        <v>75</v>
      </c>
      <c r="AA441" s="28">
        <f t="shared" si="150"/>
        <v>1.325</v>
      </c>
      <c r="AB441" s="28">
        <f t="shared" si="151"/>
        <v>20.344999999999999</v>
      </c>
      <c r="AC441" s="28">
        <f t="shared" si="152"/>
        <v>20.384</v>
      </c>
      <c r="AD441" s="28">
        <f t="shared" si="160"/>
        <v>0</v>
      </c>
      <c r="AE441" s="28">
        <f t="shared" si="153"/>
        <v>1.286</v>
      </c>
      <c r="AF441" s="28">
        <f t="shared" si="154"/>
        <v>11137.71</v>
      </c>
      <c r="AG441" s="28">
        <f t="shared" si="155"/>
        <v>3.76</v>
      </c>
      <c r="AH441" s="28">
        <f t="shared" si="158"/>
        <v>578.04</v>
      </c>
      <c r="AI441" s="28">
        <f t="shared" si="161"/>
        <v>0</v>
      </c>
      <c r="AJ441" s="28">
        <f t="shared" si="156"/>
        <v>10555.91</v>
      </c>
      <c r="AK441" s="30">
        <f>'Report Inputs'!$F$2</f>
        <v>55.9</v>
      </c>
      <c r="AL441" s="28">
        <f>'Report Inputs'!$E$2</f>
        <v>1080</v>
      </c>
      <c r="AM441" s="28">
        <f t="shared" si="157"/>
        <v>49.372999999999998</v>
      </c>
      <c r="AN441" s="26" t="s">
        <v>744</v>
      </c>
      <c r="AS441" s="26" t="s">
        <v>76</v>
      </c>
      <c r="AT441" s="26" t="s">
        <v>77</v>
      </c>
      <c r="AU441" s="26" t="s">
        <v>78</v>
      </c>
      <c r="AV441" s="31">
        <f t="shared" ca="1" si="145"/>
        <v>42376.365370717591</v>
      </c>
    </row>
    <row r="442" spans="1:48">
      <c r="A442" s="26">
        <v>7</v>
      </c>
      <c r="B442" s="26">
        <f>MONTH('Report Inputs'!$B$2)</f>
        <v>11</v>
      </c>
      <c r="C442" s="26">
        <f>YEAR('Report Inputs'!$B$2)</f>
        <v>2015</v>
      </c>
      <c r="D442" s="26">
        <v>66571</v>
      </c>
      <c r="F442" s="26" t="s">
        <v>65</v>
      </c>
      <c r="G442" s="26" t="s">
        <v>66</v>
      </c>
      <c r="H442" s="26" t="s">
        <v>67</v>
      </c>
      <c r="I442" s="26" t="s">
        <v>68</v>
      </c>
      <c r="J442" s="26" t="s">
        <v>69</v>
      </c>
      <c r="K442" s="26">
        <v>713</v>
      </c>
      <c r="L442" s="26" t="s">
        <v>70</v>
      </c>
      <c r="M442" s="26">
        <v>713</v>
      </c>
      <c r="N442" s="26" t="s">
        <v>71</v>
      </c>
      <c r="O442" s="26" t="s">
        <v>72</v>
      </c>
      <c r="P442" s="26">
        <v>45</v>
      </c>
      <c r="Q442" s="27">
        <v>20966</v>
      </c>
      <c r="R442" s="26">
        <v>0</v>
      </c>
      <c r="S442" s="26" t="s">
        <v>1004</v>
      </c>
      <c r="T442" s="26" t="s">
        <v>80</v>
      </c>
      <c r="U442" s="26" t="str">
        <f t="shared" si="147"/>
        <v>PR</v>
      </c>
      <c r="V442" s="26">
        <f t="shared" si="159"/>
        <v>30</v>
      </c>
      <c r="W442" s="26" t="s">
        <v>103</v>
      </c>
      <c r="X442" s="26">
        <v>8</v>
      </c>
      <c r="Y442" s="26" t="s">
        <v>74</v>
      </c>
      <c r="Z442" s="26" t="s">
        <v>75</v>
      </c>
      <c r="AA442" s="28">
        <f t="shared" si="150"/>
        <v>0.64600000000000002</v>
      </c>
      <c r="AB442" s="28">
        <f t="shared" si="151"/>
        <v>5.6130000000000004</v>
      </c>
      <c r="AC442" s="28">
        <f t="shared" si="152"/>
        <v>5.8550000000000004</v>
      </c>
      <c r="AD442" s="28">
        <f t="shared" ref="AD442" si="162">ROUND(AC442,0)+ROUND(AE442,0)-ROUND(AA442,0)-ROUND(AB442,0)</f>
        <v>-1</v>
      </c>
      <c r="AE442" s="28">
        <f t="shared" si="153"/>
        <v>0.40400000000000003</v>
      </c>
      <c r="AF442" s="28">
        <f t="shared" si="154"/>
        <v>4218.37</v>
      </c>
      <c r="AG442" s="28">
        <f t="shared" si="155"/>
        <v>1</v>
      </c>
      <c r="AH442" s="28">
        <f t="shared" si="158"/>
        <v>385.892</v>
      </c>
      <c r="AI442" s="28">
        <f t="shared" si="161"/>
        <v>0</v>
      </c>
      <c r="AJ442" s="28">
        <f t="shared" si="156"/>
        <v>3831.4780000000001</v>
      </c>
      <c r="AK442" s="30">
        <f>'Report Inputs'!$F$2</f>
        <v>55.9</v>
      </c>
      <c r="AL442" s="28">
        <f>'Report Inputs'!$E$2</f>
        <v>1080</v>
      </c>
      <c r="AM442" s="28">
        <f t="shared" si="157"/>
        <v>196.42</v>
      </c>
      <c r="AN442" s="26" t="s">
        <v>744</v>
      </c>
      <c r="AS442" s="26" t="s">
        <v>76</v>
      </c>
      <c r="AT442" s="26" t="s">
        <v>77</v>
      </c>
      <c r="AU442" s="26" t="s">
        <v>78</v>
      </c>
      <c r="AV442" s="31">
        <f t="shared" ca="1" si="145"/>
        <v>42376.365370717591</v>
      </c>
    </row>
    <row r="443" spans="1:48">
      <c r="A443" s="26">
        <v>7</v>
      </c>
      <c r="B443" s="26">
        <f>MONTH('Report Inputs'!$B$2)</f>
        <v>11</v>
      </c>
      <c r="C443" s="26">
        <f>YEAR('Report Inputs'!$B$2)</f>
        <v>2015</v>
      </c>
      <c r="D443" s="26">
        <v>66571</v>
      </c>
      <c r="F443" s="26" t="s">
        <v>65</v>
      </c>
      <c r="G443" s="26" t="s">
        <v>66</v>
      </c>
      <c r="H443" s="26" t="s">
        <v>67</v>
      </c>
      <c r="I443" s="26" t="s">
        <v>68</v>
      </c>
      <c r="J443" s="26" t="s">
        <v>69</v>
      </c>
      <c r="K443" s="26">
        <v>713</v>
      </c>
      <c r="L443" s="26" t="s">
        <v>70</v>
      </c>
      <c r="M443" s="26">
        <v>713</v>
      </c>
      <c r="N443" s="26" t="s">
        <v>71</v>
      </c>
      <c r="O443" s="26" t="s">
        <v>72</v>
      </c>
      <c r="P443" s="26">
        <v>45</v>
      </c>
      <c r="Q443" s="27">
        <v>20962</v>
      </c>
      <c r="R443" s="26">
        <v>0</v>
      </c>
      <c r="S443" s="26" t="s">
        <v>1005</v>
      </c>
      <c r="T443" s="26" t="s">
        <v>80</v>
      </c>
      <c r="U443" s="26" t="str">
        <f t="shared" si="147"/>
        <v>PR</v>
      </c>
      <c r="V443" s="26">
        <f t="shared" si="159"/>
        <v>30</v>
      </c>
      <c r="W443" s="26" t="s">
        <v>103</v>
      </c>
      <c r="X443" s="26">
        <v>8</v>
      </c>
      <c r="Y443" s="26" t="s">
        <v>74</v>
      </c>
      <c r="Z443" s="26" t="s">
        <v>75</v>
      </c>
      <c r="AA443" s="28">
        <f t="shared" si="150"/>
        <v>0.76500000000000001</v>
      </c>
      <c r="AB443" s="28">
        <f t="shared" si="151"/>
        <v>6.5039999999999996</v>
      </c>
      <c r="AC443" s="28">
        <f t="shared" si="152"/>
        <v>6.8</v>
      </c>
      <c r="AD443" s="28">
        <f t="shared" ref="AD443:AD444" si="163">ROUND(AC443,0)+ROUND(AE443,0)-ROUND(AA443,0)-ROUND(AB443,0)</f>
        <v>-1</v>
      </c>
      <c r="AE443" s="28">
        <f t="shared" si="153"/>
        <v>0.46899999999999997</v>
      </c>
      <c r="AF443" s="28">
        <f t="shared" si="154"/>
        <v>4740.71</v>
      </c>
      <c r="AG443" s="28">
        <f t="shared" si="155"/>
        <v>1.1599999999999999</v>
      </c>
      <c r="AH443" s="28">
        <f t="shared" si="158"/>
        <v>300.53500000000003</v>
      </c>
      <c r="AI443" s="28">
        <f t="shared" si="161"/>
        <v>0</v>
      </c>
      <c r="AJ443" s="28">
        <f t="shared" si="156"/>
        <v>4439.0150000000003</v>
      </c>
      <c r="AK443" s="30">
        <f>'Report Inputs'!$F$2</f>
        <v>55.9</v>
      </c>
      <c r="AL443" s="28">
        <f>'Report Inputs'!$E$2</f>
        <v>1080</v>
      </c>
      <c r="AM443" s="28">
        <f t="shared" si="157"/>
        <v>227.565</v>
      </c>
      <c r="AN443" s="26" t="s">
        <v>744</v>
      </c>
      <c r="AS443" s="26" t="s">
        <v>76</v>
      </c>
      <c r="AT443" s="26" t="s">
        <v>77</v>
      </c>
      <c r="AU443" s="26" t="s">
        <v>78</v>
      </c>
      <c r="AV443" s="31">
        <f t="shared" ca="1" si="145"/>
        <v>42376.365370717591</v>
      </c>
    </row>
    <row r="444" spans="1:48">
      <c r="A444" s="26">
        <v>7</v>
      </c>
      <c r="B444" s="26">
        <f>MONTH('Report Inputs'!$B$2)</f>
        <v>11</v>
      </c>
      <c r="C444" s="26">
        <f>YEAR('Report Inputs'!$B$2)</f>
        <v>2015</v>
      </c>
      <c r="D444" s="26">
        <v>66571</v>
      </c>
      <c r="F444" s="26" t="s">
        <v>65</v>
      </c>
      <c r="G444" s="26" t="s">
        <v>66</v>
      </c>
      <c r="H444" s="26" t="s">
        <v>67</v>
      </c>
      <c r="I444" s="26" t="s">
        <v>68</v>
      </c>
      <c r="J444" s="26" t="s">
        <v>69</v>
      </c>
      <c r="K444" s="26">
        <v>713</v>
      </c>
      <c r="L444" s="26" t="s">
        <v>70</v>
      </c>
      <c r="M444" s="26">
        <v>713</v>
      </c>
      <c r="N444" s="26" t="s">
        <v>71</v>
      </c>
      <c r="O444" s="26" t="s">
        <v>72</v>
      </c>
      <c r="P444" s="26">
        <v>45</v>
      </c>
      <c r="Q444" s="27">
        <v>20958</v>
      </c>
      <c r="R444" s="26">
        <v>0</v>
      </c>
      <c r="S444" s="26" t="s">
        <v>1006</v>
      </c>
      <c r="T444" s="26" t="s">
        <v>80</v>
      </c>
      <c r="U444" s="26" t="str">
        <f t="shared" si="147"/>
        <v>PR</v>
      </c>
      <c r="V444" s="26">
        <f t="shared" si="159"/>
        <v>30</v>
      </c>
      <c r="W444" s="26" t="s">
        <v>103</v>
      </c>
      <c r="X444" s="26">
        <v>8</v>
      </c>
      <c r="Y444" s="26" t="s">
        <v>74</v>
      </c>
      <c r="Z444" s="26" t="s">
        <v>75</v>
      </c>
      <c r="AA444" s="28">
        <f t="shared" si="150"/>
        <v>0.58799999999999997</v>
      </c>
      <c r="AB444" s="28">
        <f t="shared" si="151"/>
        <v>5.1180000000000003</v>
      </c>
      <c r="AC444" s="28">
        <f t="shared" si="152"/>
        <v>5.3369999999999997</v>
      </c>
      <c r="AD444" s="28">
        <f t="shared" si="163"/>
        <v>-1</v>
      </c>
      <c r="AE444" s="28">
        <f t="shared" si="153"/>
        <v>0.36899999999999999</v>
      </c>
      <c r="AF444" s="28">
        <f t="shared" si="154"/>
        <v>3752.07</v>
      </c>
      <c r="AG444" s="28">
        <f t="shared" si="155"/>
        <v>0.92</v>
      </c>
      <c r="AH444" s="28">
        <v>257</v>
      </c>
      <c r="AI444" s="28">
        <f t="shared" si="161"/>
        <v>0</v>
      </c>
      <c r="AJ444" s="28">
        <f t="shared" si="156"/>
        <v>3493.51</v>
      </c>
      <c r="AK444" s="30">
        <f>'Report Inputs'!$F$2</f>
        <v>55.9</v>
      </c>
      <c r="AL444" s="28">
        <f>'Report Inputs'!$E$2</f>
        <v>1080</v>
      </c>
      <c r="AM444" s="28">
        <f t="shared" si="157"/>
        <v>179.09399999999999</v>
      </c>
      <c r="AN444" s="26" t="s">
        <v>744</v>
      </c>
      <c r="AS444" s="26" t="s">
        <v>76</v>
      </c>
      <c r="AT444" s="26" t="s">
        <v>77</v>
      </c>
      <c r="AU444" s="26" t="s">
        <v>78</v>
      </c>
      <c r="AV444" s="31">
        <f t="shared" ca="1" si="145"/>
        <v>42376.365370717591</v>
      </c>
    </row>
    <row r="445" spans="1:48">
      <c r="A445" s="26">
        <v>7</v>
      </c>
      <c r="B445" s="26">
        <f>MONTH('Report Inputs'!$B$2)</f>
        <v>11</v>
      </c>
      <c r="C445" s="26">
        <f>YEAR('Report Inputs'!$B$2)</f>
        <v>2015</v>
      </c>
      <c r="D445" s="26">
        <v>66571</v>
      </c>
      <c r="F445" s="26" t="s">
        <v>65</v>
      </c>
      <c r="G445" s="26" t="s">
        <v>66</v>
      </c>
      <c r="H445" s="26" t="s">
        <v>67</v>
      </c>
      <c r="I445" s="26" t="s">
        <v>68</v>
      </c>
      <c r="J445" s="26" t="s">
        <v>69</v>
      </c>
      <c r="K445" s="26">
        <v>713</v>
      </c>
      <c r="L445" s="26" t="s">
        <v>70</v>
      </c>
      <c r="M445" s="26">
        <v>713</v>
      </c>
      <c r="N445" s="26" t="s">
        <v>71</v>
      </c>
      <c r="O445" s="26" t="s">
        <v>72</v>
      </c>
      <c r="P445" s="26">
        <v>45</v>
      </c>
      <c r="Q445" s="27">
        <v>20965</v>
      </c>
      <c r="R445" s="26">
        <v>0</v>
      </c>
      <c r="S445" s="26" t="s">
        <v>1007</v>
      </c>
      <c r="T445" s="26" t="s">
        <v>80</v>
      </c>
      <c r="U445" s="26" t="str">
        <f t="shared" si="147"/>
        <v>PR</v>
      </c>
      <c r="V445" s="26">
        <f t="shared" si="159"/>
        <v>30</v>
      </c>
      <c r="W445" s="26" t="s">
        <v>103</v>
      </c>
      <c r="X445" s="26">
        <v>8</v>
      </c>
      <c r="Y445" s="26" t="s">
        <v>74</v>
      </c>
      <c r="Z445" s="26" t="s">
        <v>75</v>
      </c>
      <c r="AA445" s="28">
        <f t="shared" si="150"/>
        <v>0.377</v>
      </c>
      <c r="AB445" s="28">
        <f t="shared" si="151"/>
        <v>3.2509999999999999</v>
      </c>
      <c r="AC445" s="28">
        <f t="shared" si="152"/>
        <v>3.3940000000000001</v>
      </c>
      <c r="AD445" s="28">
        <f t="shared" ref="AD445:AD447" si="164">ROUND(AC445,0)+ROUND(AE445,0)-ROUND(AA445,0)-ROUND(AB445,0)</f>
        <v>0</v>
      </c>
      <c r="AE445" s="28">
        <f t="shared" si="153"/>
        <v>0.23400000000000001</v>
      </c>
      <c r="AF445" s="28">
        <f t="shared" si="154"/>
        <v>2532.0500000000002</v>
      </c>
      <c r="AG445" s="28">
        <f t="shared" si="155"/>
        <v>0.57999999999999996</v>
      </c>
      <c r="AH445" s="28">
        <v>312</v>
      </c>
      <c r="AI445" s="28">
        <f t="shared" si="161"/>
        <v>0</v>
      </c>
      <c r="AJ445" s="28">
        <f t="shared" si="156"/>
        <v>2218.7420000000002</v>
      </c>
      <c r="AK445" s="30">
        <f>'Report Inputs'!$F$2</f>
        <v>55.9</v>
      </c>
      <c r="AL445" s="28">
        <f>'Report Inputs'!$E$2</f>
        <v>1080</v>
      </c>
      <c r="AM445" s="28">
        <f t="shared" si="157"/>
        <v>113.744</v>
      </c>
      <c r="AN445" s="26" t="s">
        <v>744</v>
      </c>
      <c r="AS445" s="26" t="s">
        <v>76</v>
      </c>
      <c r="AT445" s="26" t="s">
        <v>77</v>
      </c>
      <c r="AU445" s="26" t="s">
        <v>78</v>
      </c>
      <c r="AV445" s="31">
        <f t="shared" ca="1" si="145"/>
        <v>42376.365370717591</v>
      </c>
    </row>
    <row r="446" spans="1:48">
      <c r="A446" s="26">
        <v>7</v>
      </c>
      <c r="B446" s="26">
        <f>MONTH('Report Inputs'!$B$2)</f>
        <v>11</v>
      </c>
      <c r="C446" s="26">
        <f>YEAR('Report Inputs'!$B$2)</f>
        <v>2015</v>
      </c>
      <c r="D446" s="26">
        <v>66571</v>
      </c>
      <c r="F446" s="26" t="s">
        <v>65</v>
      </c>
      <c r="G446" s="26" t="s">
        <v>66</v>
      </c>
      <c r="H446" s="26" t="s">
        <v>67</v>
      </c>
      <c r="I446" s="26" t="s">
        <v>68</v>
      </c>
      <c r="J446" s="26" t="s">
        <v>69</v>
      </c>
      <c r="K446" s="26">
        <v>713</v>
      </c>
      <c r="L446" s="26" t="s">
        <v>70</v>
      </c>
      <c r="M446" s="26">
        <v>713</v>
      </c>
      <c r="N446" s="26" t="s">
        <v>71</v>
      </c>
      <c r="O446" s="26" t="s">
        <v>72</v>
      </c>
      <c r="P446" s="26">
        <v>45</v>
      </c>
      <c r="Q446" s="27">
        <v>20961</v>
      </c>
      <c r="R446" s="26">
        <v>0</v>
      </c>
      <c r="S446" s="26" t="s">
        <v>1024</v>
      </c>
      <c r="T446" s="26" t="s">
        <v>80</v>
      </c>
      <c r="U446" s="26" t="s">
        <v>1025</v>
      </c>
      <c r="V446" s="26">
        <f t="shared" si="159"/>
        <v>0</v>
      </c>
      <c r="W446" s="26" t="s">
        <v>103</v>
      </c>
      <c r="X446" s="26">
        <v>8</v>
      </c>
      <c r="Y446" s="26" t="s">
        <v>74</v>
      </c>
      <c r="Z446" s="26" t="s">
        <v>75</v>
      </c>
      <c r="AA446" s="28">
        <f t="shared" ref="AA446:AA459" si="165">IF(ISNA(VLOOKUP($Q446,data,5,FALSE)),0,VLOOKUP($Q446,data,5,FALSE))</f>
        <v>0</v>
      </c>
      <c r="AB446" s="28">
        <f t="shared" ref="AB446:AB459" si="166">IF(ISNA(VLOOKUP($Q446,data,7,FALSE)),0,VLOOKUP($Q446,data,7,FALSE))</f>
        <v>0</v>
      </c>
      <c r="AC446" s="28">
        <f t="shared" ref="AC446:AC459" si="167">IF(ISNA(VLOOKUP($Q446,data,6,FALSE)),0,VLOOKUP($Q446,data,6,FALSE))</f>
        <v>0</v>
      </c>
      <c r="AD446" s="28">
        <f t="shared" si="164"/>
        <v>0</v>
      </c>
      <c r="AE446" s="28">
        <f t="shared" ref="AE446:AE459" si="168">IF(ISNA(VLOOKUP($Q446,data,13,FALSE)),0,VLOOKUP($Q446,data,13,FALSE))</f>
        <v>0</v>
      </c>
      <c r="AF446" s="28">
        <f t="shared" si="154"/>
        <v>0</v>
      </c>
      <c r="AG446" s="28">
        <f t="shared" si="155"/>
        <v>0</v>
      </c>
      <c r="AH446" s="28">
        <f t="shared" si="158"/>
        <v>0</v>
      </c>
      <c r="AI446" s="28">
        <f t="shared" si="161"/>
        <v>0</v>
      </c>
      <c r="AJ446" s="28">
        <f t="shared" si="156"/>
        <v>0</v>
      </c>
      <c r="AM446" s="28">
        <f t="shared" si="157"/>
        <v>0</v>
      </c>
      <c r="AN446" s="26" t="s">
        <v>744</v>
      </c>
      <c r="AS446" s="26" t="s">
        <v>76</v>
      </c>
      <c r="AT446" s="26" t="s">
        <v>77</v>
      </c>
      <c r="AU446" s="26" t="s">
        <v>78</v>
      </c>
      <c r="AV446" s="31">
        <f t="shared" ca="1" si="145"/>
        <v>42376.365370717591</v>
      </c>
    </row>
    <row r="447" spans="1:48">
      <c r="A447" s="26">
        <v>7</v>
      </c>
      <c r="B447" s="26">
        <f>MONTH('Report Inputs'!$B$2)</f>
        <v>11</v>
      </c>
      <c r="C447" s="26">
        <f>YEAR('Report Inputs'!$B$2)</f>
        <v>2015</v>
      </c>
      <c r="D447" s="26">
        <v>66571</v>
      </c>
      <c r="F447" s="26" t="s">
        <v>65</v>
      </c>
      <c r="G447" s="26" t="s">
        <v>66</v>
      </c>
      <c r="H447" s="26" t="s">
        <v>67</v>
      </c>
      <c r="I447" s="26" t="s">
        <v>68</v>
      </c>
      <c r="J447" s="26" t="s">
        <v>69</v>
      </c>
      <c r="K447" s="26">
        <v>713</v>
      </c>
      <c r="L447" s="26" t="s">
        <v>70</v>
      </c>
      <c r="M447" s="26">
        <v>713</v>
      </c>
      <c r="N447" s="26" t="s">
        <v>71</v>
      </c>
      <c r="O447" s="26" t="s">
        <v>72</v>
      </c>
      <c r="P447" s="26">
        <v>45</v>
      </c>
      <c r="Q447" s="27">
        <v>20953</v>
      </c>
      <c r="R447" s="26">
        <v>0</v>
      </c>
      <c r="S447" s="26" t="s">
        <v>1026</v>
      </c>
      <c r="T447" s="26" t="s">
        <v>80</v>
      </c>
      <c r="U447" s="26" t="s">
        <v>1025</v>
      </c>
      <c r="V447" s="26">
        <f t="shared" si="159"/>
        <v>0</v>
      </c>
      <c r="W447" s="26" t="s">
        <v>103</v>
      </c>
      <c r="X447" s="26">
        <v>8</v>
      </c>
      <c r="Y447" s="26" t="s">
        <v>74</v>
      </c>
      <c r="Z447" s="26" t="s">
        <v>75</v>
      </c>
      <c r="AA447" s="28">
        <f t="shared" si="165"/>
        <v>0</v>
      </c>
      <c r="AB447" s="28">
        <f t="shared" si="166"/>
        <v>0</v>
      </c>
      <c r="AC447" s="28">
        <f t="shared" si="167"/>
        <v>0</v>
      </c>
      <c r="AD447" s="28">
        <f t="shared" si="164"/>
        <v>0</v>
      </c>
      <c r="AE447" s="28">
        <f t="shared" si="168"/>
        <v>0</v>
      </c>
      <c r="AF447" s="28">
        <f t="shared" si="154"/>
        <v>0</v>
      </c>
      <c r="AG447" s="28">
        <f t="shared" si="155"/>
        <v>0</v>
      </c>
      <c r="AH447" s="28">
        <f t="shared" si="158"/>
        <v>0</v>
      </c>
      <c r="AI447" s="28">
        <f t="shared" si="161"/>
        <v>0</v>
      </c>
      <c r="AJ447" s="28">
        <f t="shared" si="156"/>
        <v>0</v>
      </c>
      <c r="AM447" s="28">
        <f t="shared" si="157"/>
        <v>0</v>
      </c>
      <c r="AN447" s="26" t="s">
        <v>744</v>
      </c>
      <c r="AS447" s="26" t="s">
        <v>76</v>
      </c>
      <c r="AT447" s="26" t="s">
        <v>77</v>
      </c>
      <c r="AU447" s="26" t="s">
        <v>78</v>
      </c>
      <c r="AV447" s="31">
        <f t="shared" ref="AV447:AV462" ca="1" si="169">NOW()</f>
        <v>42376.365370717591</v>
      </c>
    </row>
    <row r="448" spans="1:48">
      <c r="A448" s="26">
        <v>7</v>
      </c>
      <c r="B448" s="26">
        <f>MONTH('Report Inputs'!$B$2)</f>
        <v>11</v>
      </c>
      <c r="C448" s="26">
        <f>YEAR('Report Inputs'!$B$2)</f>
        <v>2015</v>
      </c>
      <c r="D448" s="26">
        <v>66571</v>
      </c>
      <c r="F448" s="26" t="s">
        <v>65</v>
      </c>
      <c r="G448" s="26" t="s">
        <v>66</v>
      </c>
      <c r="H448" s="26" t="s">
        <v>67</v>
      </c>
      <c r="I448" s="26" t="s">
        <v>68</v>
      </c>
      <c r="J448" s="26" t="s">
        <v>69</v>
      </c>
      <c r="K448" s="26">
        <v>713</v>
      </c>
      <c r="L448" s="26" t="s">
        <v>70</v>
      </c>
      <c r="M448" s="26">
        <v>713</v>
      </c>
      <c r="N448" s="26" t="s">
        <v>71</v>
      </c>
      <c r="O448" s="26" t="s">
        <v>72</v>
      </c>
      <c r="P448" s="26">
        <v>45</v>
      </c>
      <c r="Q448" s="27">
        <v>20974</v>
      </c>
      <c r="R448" s="26">
        <v>0</v>
      </c>
      <c r="S448" s="26" t="s">
        <v>1014</v>
      </c>
      <c r="T448" s="26" t="s">
        <v>80</v>
      </c>
      <c r="U448" s="26" t="str">
        <f t="shared" ref="U448:U463" si="170">IF(V448&gt;0,"PR","SI")</f>
        <v>PR</v>
      </c>
      <c r="V448" s="26">
        <f t="shared" si="159"/>
        <v>30</v>
      </c>
      <c r="W448" s="26" t="s">
        <v>103</v>
      </c>
      <c r="X448" s="26">
        <v>8</v>
      </c>
      <c r="Y448" s="26" t="s">
        <v>74</v>
      </c>
      <c r="Z448" s="26" t="s">
        <v>75</v>
      </c>
      <c r="AA448" s="28">
        <f t="shared" si="165"/>
        <v>0.35899999999999999</v>
      </c>
      <c r="AB448" s="28">
        <f t="shared" si="166"/>
        <v>2.9980000000000002</v>
      </c>
      <c r="AC448" s="28">
        <f t="shared" si="167"/>
        <v>3.141</v>
      </c>
      <c r="AD448" s="28">
        <f t="shared" ref="AD448" si="171">ROUND(AC448,0)+ROUND(AE448,0)-ROUND(AA448,0)-ROUND(AB448,0)</f>
        <v>0</v>
      </c>
      <c r="AE448" s="28">
        <f t="shared" si="168"/>
        <v>0.216</v>
      </c>
      <c r="AF448" s="28">
        <f t="shared" si="154"/>
        <v>2238.89</v>
      </c>
      <c r="AG448" s="28">
        <f t="shared" si="155"/>
        <v>0.54</v>
      </c>
      <c r="AH448" s="28">
        <f t="shared" si="158"/>
        <v>191.98699999999999</v>
      </c>
      <c r="AI448" s="28">
        <f t="shared" si="161"/>
        <v>0</v>
      </c>
      <c r="AJ448" s="28">
        <f t="shared" si="156"/>
        <v>2046.3630000000001</v>
      </c>
      <c r="AK448" s="30">
        <f>'Report Inputs'!$F$2</f>
        <v>55.9</v>
      </c>
      <c r="AL448" s="28">
        <f>'Report Inputs'!$E$2</f>
        <v>1080</v>
      </c>
      <c r="AM448" s="28">
        <f t="shared" si="157"/>
        <v>104.90600000000001</v>
      </c>
      <c r="AN448" s="26" t="s">
        <v>744</v>
      </c>
      <c r="AS448" s="26" t="s">
        <v>76</v>
      </c>
      <c r="AT448" s="26" t="s">
        <v>77</v>
      </c>
      <c r="AU448" s="26" t="s">
        <v>78</v>
      </c>
      <c r="AV448" s="31">
        <f t="shared" ca="1" si="169"/>
        <v>42376.365370717591</v>
      </c>
    </row>
    <row r="449" spans="1:50">
      <c r="A449" s="26">
        <v>7</v>
      </c>
      <c r="B449" s="26">
        <f>MONTH('Report Inputs'!$B$2)</f>
        <v>11</v>
      </c>
      <c r="C449" s="26">
        <f>YEAR('Report Inputs'!$B$2)</f>
        <v>2015</v>
      </c>
      <c r="D449" s="26">
        <v>66571</v>
      </c>
      <c r="F449" s="26" t="s">
        <v>65</v>
      </c>
      <c r="G449" s="26" t="s">
        <v>66</v>
      </c>
      <c r="H449" s="26" t="s">
        <v>67</v>
      </c>
      <c r="I449" s="26" t="s">
        <v>68</v>
      </c>
      <c r="J449" s="26" t="s">
        <v>69</v>
      </c>
      <c r="K449" s="26">
        <v>713</v>
      </c>
      <c r="L449" s="26" t="s">
        <v>70</v>
      </c>
      <c r="M449" s="26">
        <v>713</v>
      </c>
      <c r="N449" s="26" t="s">
        <v>71</v>
      </c>
      <c r="O449" s="26" t="s">
        <v>72</v>
      </c>
      <c r="P449" s="26">
        <v>45</v>
      </c>
      <c r="Q449" s="27">
        <v>20973</v>
      </c>
      <c r="R449" s="26">
        <v>0</v>
      </c>
      <c r="S449" s="26" t="s">
        <v>1011</v>
      </c>
      <c r="T449" s="26" t="s">
        <v>80</v>
      </c>
      <c r="U449" s="26" t="str">
        <f t="shared" si="170"/>
        <v>PR</v>
      </c>
      <c r="V449" s="26">
        <f t="shared" si="159"/>
        <v>30</v>
      </c>
      <c r="W449" s="26" t="s">
        <v>103</v>
      </c>
      <c r="X449" s="26">
        <v>8</v>
      </c>
      <c r="Y449" s="26" t="s">
        <v>74</v>
      </c>
      <c r="Z449" s="26" t="s">
        <v>75</v>
      </c>
      <c r="AA449" s="28">
        <f t="shared" si="165"/>
        <v>0.42699999999999999</v>
      </c>
      <c r="AB449" s="28">
        <f t="shared" si="166"/>
        <v>3.5190000000000001</v>
      </c>
      <c r="AC449" s="28">
        <f t="shared" si="167"/>
        <v>3.6920000000000002</v>
      </c>
      <c r="AD449" s="28">
        <f t="shared" ref="AD449" si="172">ROUND(AC449,0)+ROUND(AE449,0)-ROUND(AA449,0)-ROUND(AB449,0)</f>
        <v>0</v>
      </c>
      <c r="AE449" s="28">
        <f t="shared" si="168"/>
        <v>0.254</v>
      </c>
      <c r="AF449" s="28">
        <f t="shared" si="154"/>
        <v>2723.9</v>
      </c>
      <c r="AG449" s="28">
        <f t="shared" si="155"/>
        <v>0.63</v>
      </c>
      <c r="AH449" s="28">
        <f t="shared" si="158"/>
        <v>321.05099999999999</v>
      </c>
      <c r="AI449" s="28">
        <f t="shared" si="161"/>
        <v>0</v>
      </c>
      <c r="AJ449" s="28">
        <f t="shared" si="156"/>
        <v>2402.2190000000001</v>
      </c>
      <c r="AK449" s="30">
        <f>'Report Inputs'!$F$2</f>
        <v>55.9</v>
      </c>
      <c r="AL449" s="28">
        <f>'Report Inputs'!$E$2</f>
        <v>1080</v>
      </c>
      <c r="AM449" s="28">
        <f t="shared" si="157"/>
        <v>123.149</v>
      </c>
      <c r="AN449" s="26" t="s">
        <v>744</v>
      </c>
      <c r="AS449" s="26" t="s">
        <v>76</v>
      </c>
      <c r="AT449" s="26" t="s">
        <v>77</v>
      </c>
      <c r="AU449" s="26" t="s">
        <v>78</v>
      </c>
      <c r="AV449" s="31">
        <f t="shared" ca="1" si="169"/>
        <v>42376.365370717591</v>
      </c>
    </row>
    <row r="450" spans="1:50">
      <c r="A450" s="26">
        <v>7</v>
      </c>
      <c r="B450" s="26">
        <f>MONTH('Report Inputs'!$B$2)</f>
        <v>11</v>
      </c>
      <c r="C450" s="26">
        <f>YEAR('Report Inputs'!$B$2)</f>
        <v>2015</v>
      </c>
      <c r="D450" s="26">
        <v>66571</v>
      </c>
      <c r="F450" s="26" t="s">
        <v>65</v>
      </c>
      <c r="G450" s="26" t="s">
        <v>66</v>
      </c>
      <c r="H450" s="26" t="s">
        <v>67</v>
      </c>
      <c r="I450" s="26" t="s">
        <v>68</v>
      </c>
      <c r="J450" s="26" t="s">
        <v>69</v>
      </c>
      <c r="K450" s="26">
        <v>713</v>
      </c>
      <c r="L450" s="26" t="s">
        <v>70</v>
      </c>
      <c r="M450" s="26">
        <v>713</v>
      </c>
      <c r="N450" s="26" t="s">
        <v>71</v>
      </c>
      <c r="O450" s="26" t="s">
        <v>72</v>
      </c>
      <c r="P450" s="26">
        <v>45</v>
      </c>
      <c r="Q450" s="27">
        <v>20969</v>
      </c>
      <c r="R450" s="26">
        <v>0</v>
      </c>
      <c r="S450" s="26" t="s">
        <v>1012</v>
      </c>
      <c r="T450" s="26" t="s">
        <v>80</v>
      </c>
      <c r="U450" s="26" t="str">
        <f t="shared" si="170"/>
        <v>PR</v>
      </c>
      <c r="V450" s="26">
        <f t="shared" ref="V450:V463" si="173">IF(ISNA(VLOOKUP($Q450,data,4,FALSE)),0,VLOOKUP($Q450,data,4,FALSE))</f>
        <v>30</v>
      </c>
      <c r="W450" s="26" t="s">
        <v>103</v>
      </c>
      <c r="X450" s="26">
        <v>8</v>
      </c>
      <c r="Y450" s="26" t="s">
        <v>74</v>
      </c>
      <c r="Z450" s="26" t="s">
        <v>75</v>
      </c>
      <c r="AA450" s="28">
        <f t="shared" si="165"/>
        <v>0.73199999999999998</v>
      </c>
      <c r="AB450" s="28">
        <f t="shared" si="166"/>
        <v>6.3460000000000001</v>
      </c>
      <c r="AC450" s="28">
        <f t="shared" si="167"/>
        <v>6.6210000000000004</v>
      </c>
      <c r="AD450" s="28">
        <f t="shared" ref="AD450" si="174">ROUND(AC450,0)+ROUND(AE450,0)-ROUND(AA450,0)-ROUND(AB450,0)</f>
        <v>0</v>
      </c>
      <c r="AE450" s="28">
        <f t="shared" si="168"/>
        <v>0.45700000000000002</v>
      </c>
      <c r="AF450" s="28">
        <f t="shared" si="154"/>
        <v>5008.55</v>
      </c>
      <c r="AG450" s="28">
        <f t="shared" si="155"/>
        <v>1.1399999999999999</v>
      </c>
      <c r="AH450" s="28">
        <v>677</v>
      </c>
      <c r="AI450" s="28">
        <f t="shared" si="161"/>
        <v>0</v>
      </c>
      <c r="AJ450" s="28">
        <f t="shared" si="156"/>
        <v>4331.0150000000003</v>
      </c>
      <c r="AK450" s="30">
        <f>'Report Inputs'!$F$2</f>
        <v>55.9</v>
      </c>
      <c r="AL450" s="28">
        <f>'Report Inputs'!$E$2</f>
        <v>1080</v>
      </c>
      <c r="AM450" s="28">
        <f t="shared" si="157"/>
        <v>222.02799999999999</v>
      </c>
      <c r="AN450" s="26" t="s">
        <v>744</v>
      </c>
      <c r="AS450" s="26" t="s">
        <v>76</v>
      </c>
      <c r="AT450" s="26" t="s">
        <v>77</v>
      </c>
      <c r="AU450" s="26" t="s">
        <v>78</v>
      </c>
      <c r="AV450" s="31">
        <f t="shared" ca="1" si="169"/>
        <v>42376.365370717591</v>
      </c>
    </row>
    <row r="451" spans="1:50">
      <c r="A451" s="26">
        <v>7</v>
      </c>
      <c r="B451" s="26">
        <f>MONTH('Report Inputs'!$B$2)</f>
        <v>11</v>
      </c>
      <c r="C451" s="26">
        <f>YEAR('Report Inputs'!$B$2)</f>
        <v>2015</v>
      </c>
      <c r="D451" s="26">
        <v>66571</v>
      </c>
      <c r="F451" s="26" t="s">
        <v>65</v>
      </c>
      <c r="G451" s="26" t="s">
        <v>66</v>
      </c>
      <c r="H451" s="26" t="s">
        <v>67</v>
      </c>
      <c r="I451" s="26" t="s">
        <v>68</v>
      </c>
      <c r="J451" s="26" t="s">
        <v>69</v>
      </c>
      <c r="K451" s="26">
        <v>713</v>
      </c>
      <c r="L451" s="26" t="s">
        <v>70</v>
      </c>
      <c r="M451" s="26">
        <v>713</v>
      </c>
      <c r="N451" s="26" t="s">
        <v>71</v>
      </c>
      <c r="O451" s="26" t="s">
        <v>72</v>
      </c>
      <c r="P451" s="26">
        <v>45</v>
      </c>
      <c r="Q451" s="27">
        <v>20975</v>
      </c>
      <c r="R451" s="26">
        <v>0</v>
      </c>
      <c r="S451" s="26" t="s">
        <v>1013</v>
      </c>
      <c r="T451" s="26" t="s">
        <v>80</v>
      </c>
      <c r="U451" s="26" t="str">
        <f t="shared" si="170"/>
        <v>PR</v>
      </c>
      <c r="V451" s="26">
        <f t="shared" si="173"/>
        <v>30</v>
      </c>
      <c r="W451" s="26" t="s">
        <v>103</v>
      </c>
      <c r="X451" s="26">
        <v>8</v>
      </c>
      <c r="Y451" s="26" t="s">
        <v>74</v>
      </c>
      <c r="Z451" s="26" t="s">
        <v>75</v>
      </c>
      <c r="AA451" s="28">
        <f t="shared" si="165"/>
        <v>0.435</v>
      </c>
      <c r="AB451" s="28">
        <f t="shared" si="166"/>
        <v>3.8119999999999998</v>
      </c>
      <c r="AC451" s="28">
        <f t="shared" si="167"/>
        <v>3.972</v>
      </c>
      <c r="AD451" s="28">
        <f t="shared" ref="AD451" si="175">ROUND(AC451,0)+ROUND(AE451,0)-ROUND(AA451,0)-ROUND(AB451,0)</f>
        <v>0</v>
      </c>
      <c r="AE451" s="28">
        <f t="shared" si="168"/>
        <v>0.27500000000000002</v>
      </c>
      <c r="AF451" s="28">
        <f t="shared" si="154"/>
        <v>2820.33</v>
      </c>
      <c r="AG451" s="28">
        <f t="shared" si="155"/>
        <v>0.68</v>
      </c>
      <c r="AH451" s="28">
        <f t="shared" si="158"/>
        <v>217.215</v>
      </c>
      <c r="AI451" s="28">
        <f t="shared" si="161"/>
        <v>0</v>
      </c>
      <c r="AJ451" s="28">
        <f t="shared" si="156"/>
        <v>2602.4349999999999</v>
      </c>
      <c r="AK451" s="30">
        <f>'Report Inputs'!$F$2</f>
        <v>55.9</v>
      </c>
      <c r="AL451" s="28">
        <f>'Report Inputs'!$E$2</f>
        <v>1080</v>
      </c>
      <c r="AM451" s="28">
        <f t="shared" si="157"/>
        <v>133.41300000000001</v>
      </c>
      <c r="AN451" s="26" t="s">
        <v>744</v>
      </c>
      <c r="AS451" s="26" t="s">
        <v>76</v>
      </c>
      <c r="AT451" s="26" t="s">
        <v>77</v>
      </c>
      <c r="AU451" s="26" t="s">
        <v>78</v>
      </c>
      <c r="AV451" s="31">
        <f t="shared" ca="1" si="169"/>
        <v>42376.365370717591</v>
      </c>
    </row>
    <row r="452" spans="1:50">
      <c r="A452" s="26">
        <v>7</v>
      </c>
      <c r="B452" s="26">
        <f>MONTH('Report Inputs'!$B$2)</f>
        <v>11</v>
      </c>
      <c r="C452" s="26">
        <f>YEAR('Report Inputs'!$B$2)</f>
        <v>2015</v>
      </c>
      <c r="D452" s="26">
        <v>66571</v>
      </c>
      <c r="F452" s="26" t="s">
        <v>65</v>
      </c>
      <c r="G452" s="26" t="s">
        <v>66</v>
      </c>
      <c r="H452" s="26" t="s">
        <v>67</v>
      </c>
      <c r="I452" s="26" t="s">
        <v>68</v>
      </c>
      <c r="J452" s="26" t="s">
        <v>69</v>
      </c>
      <c r="K452" s="26">
        <v>713</v>
      </c>
      <c r="L452" s="26" t="s">
        <v>70</v>
      </c>
      <c r="M452" s="26">
        <v>713</v>
      </c>
      <c r="N452" s="26" t="s">
        <v>71</v>
      </c>
      <c r="O452" s="26" t="s">
        <v>72</v>
      </c>
      <c r="P452" s="26">
        <v>45</v>
      </c>
      <c r="Q452" s="27">
        <v>21279</v>
      </c>
      <c r="R452" s="26">
        <v>0</v>
      </c>
      <c r="S452" s="26" t="s">
        <v>1017</v>
      </c>
      <c r="T452" s="26" t="s">
        <v>80</v>
      </c>
      <c r="U452" s="26" t="str">
        <f t="shared" si="170"/>
        <v>PR</v>
      </c>
      <c r="V452" s="26">
        <f t="shared" si="173"/>
        <v>30</v>
      </c>
      <c r="W452" s="26" t="s">
        <v>1008</v>
      </c>
      <c r="X452" s="26">
        <v>3</v>
      </c>
      <c r="Y452" s="26" t="s">
        <v>194</v>
      </c>
      <c r="Z452" s="26" t="s">
        <v>75</v>
      </c>
      <c r="AA452" s="28">
        <f t="shared" si="165"/>
        <v>1.18</v>
      </c>
      <c r="AB452" s="28">
        <f t="shared" si="166"/>
        <v>18.117000000000001</v>
      </c>
      <c r="AC452" s="28">
        <f t="shared" si="167"/>
        <v>18.152000000000001</v>
      </c>
      <c r="AD452" s="28">
        <f t="shared" ref="AD452" si="176">ROUND(AC452,0)+ROUND(AE452,0)-ROUND(AA452,0)-ROUND(AB452,0)</f>
        <v>0</v>
      </c>
      <c r="AE452" s="28">
        <f t="shared" si="168"/>
        <v>1.145</v>
      </c>
      <c r="AF452" s="28">
        <f t="shared" si="154"/>
        <v>9929.2000000000007</v>
      </c>
      <c r="AG452" s="28">
        <f t="shared" si="155"/>
        <v>3.35</v>
      </c>
      <c r="AH452" s="28">
        <f t="shared" si="158"/>
        <v>525.61</v>
      </c>
      <c r="AI452" s="28">
        <f t="shared" si="161"/>
        <v>0</v>
      </c>
      <c r="AJ452" s="28">
        <f t="shared" si="156"/>
        <v>9400.24</v>
      </c>
      <c r="AK452" s="30">
        <f>'Report Inputs'!$F$2</f>
        <v>55.9</v>
      </c>
      <c r="AL452" s="28">
        <f>'Report Inputs'!$E$2</f>
        <v>1080</v>
      </c>
      <c r="AM452" s="28">
        <f t="shared" si="157"/>
        <v>43.968000000000004</v>
      </c>
      <c r="AN452" s="26" t="s">
        <v>744</v>
      </c>
      <c r="AS452" s="26" t="s">
        <v>76</v>
      </c>
      <c r="AT452" s="26" t="s">
        <v>77</v>
      </c>
      <c r="AU452" s="26" t="s">
        <v>78</v>
      </c>
      <c r="AV452" s="31">
        <f t="shared" ca="1" si="169"/>
        <v>42376.365370717591</v>
      </c>
    </row>
    <row r="453" spans="1:50">
      <c r="A453" s="26">
        <v>7</v>
      </c>
      <c r="B453" s="26">
        <f>MONTH('Report Inputs'!$B$2)</f>
        <v>11</v>
      </c>
      <c r="C453" s="26">
        <f>YEAR('Report Inputs'!$B$2)</f>
        <v>2015</v>
      </c>
      <c r="D453" s="26">
        <v>66571</v>
      </c>
      <c r="F453" s="26" t="s">
        <v>65</v>
      </c>
      <c r="G453" s="26" t="s">
        <v>66</v>
      </c>
      <c r="H453" s="26" t="s">
        <v>67</v>
      </c>
      <c r="I453" s="26" t="s">
        <v>68</v>
      </c>
      <c r="J453" s="26" t="s">
        <v>69</v>
      </c>
      <c r="K453" s="26">
        <v>713</v>
      </c>
      <c r="L453" s="26" t="s">
        <v>70</v>
      </c>
      <c r="M453" s="26">
        <v>713</v>
      </c>
      <c r="N453" s="26" t="s">
        <v>71</v>
      </c>
      <c r="O453" s="26" t="s">
        <v>72</v>
      </c>
      <c r="P453" s="26">
        <v>45</v>
      </c>
      <c r="Q453" s="27">
        <v>21284</v>
      </c>
      <c r="R453" s="26">
        <v>0</v>
      </c>
      <c r="S453" s="26" t="s">
        <v>1018</v>
      </c>
      <c r="T453" s="26" t="s">
        <v>80</v>
      </c>
      <c r="U453" s="26" t="str">
        <f t="shared" si="170"/>
        <v>PR</v>
      </c>
      <c r="V453" s="26">
        <f t="shared" si="173"/>
        <v>30</v>
      </c>
      <c r="W453" s="26" t="s">
        <v>1008</v>
      </c>
      <c r="X453" s="26">
        <v>3</v>
      </c>
      <c r="Y453" s="26" t="s">
        <v>194</v>
      </c>
      <c r="Z453" s="26" t="s">
        <v>75</v>
      </c>
      <c r="AA453" s="28">
        <f t="shared" si="165"/>
        <v>0.96199999999999997</v>
      </c>
      <c r="AB453" s="28">
        <f t="shared" si="166"/>
        <v>14.637</v>
      </c>
      <c r="AC453" s="28">
        <f t="shared" si="167"/>
        <v>14.67</v>
      </c>
      <c r="AD453" s="28">
        <f t="shared" ref="AD453" si="177">ROUND(AC453,0)+ROUND(AE453,0)-ROUND(AA453,0)-ROUND(AB453,0)</f>
        <v>0</v>
      </c>
      <c r="AE453" s="28">
        <f t="shared" si="168"/>
        <v>0.92900000000000005</v>
      </c>
      <c r="AF453" s="28">
        <f t="shared" si="154"/>
        <v>8040.35</v>
      </c>
      <c r="AG453" s="28">
        <f t="shared" si="155"/>
        <v>2.7</v>
      </c>
      <c r="AH453" s="28">
        <v>443</v>
      </c>
      <c r="AI453" s="28">
        <f t="shared" si="161"/>
        <v>0</v>
      </c>
      <c r="AJ453" s="28">
        <f t="shared" si="156"/>
        <v>7593.9840000000004</v>
      </c>
      <c r="AK453" s="30">
        <f>'Report Inputs'!$F$2</f>
        <v>55.9</v>
      </c>
      <c r="AL453" s="28">
        <f>'Report Inputs'!$E$2</f>
        <v>1080</v>
      </c>
      <c r="AM453" s="28">
        <f t="shared" si="157"/>
        <v>35.518999999999998</v>
      </c>
      <c r="AN453" s="26" t="s">
        <v>744</v>
      </c>
      <c r="AS453" s="26" t="s">
        <v>76</v>
      </c>
      <c r="AT453" s="26" t="s">
        <v>77</v>
      </c>
      <c r="AU453" s="26" t="s">
        <v>78</v>
      </c>
      <c r="AV453" s="31">
        <f t="shared" ca="1" si="169"/>
        <v>42376.365370717591</v>
      </c>
    </row>
    <row r="454" spans="1:50">
      <c r="A454" s="26">
        <v>7</v>
      </c>
      <c r="B454" s="26">
        <f>MONTH('Report Inputs'!$B$2)</f>
        <v>11</v>
      </c>
      <c r="C454" s="26">
        <f>YEAR('Report Inputs'!$B$2)</f>
        <v>2015</v>
      </c>
      <c r="D454" s="26">
        <v>66571</v>
      </c>
      <c r="F454" s="26" t="s">
        <v>65</v>
      </c>
      <c r="G454" s="26" t="s">
        <v>66</v>
      </c>
      <c r="H454" s="26" t="s">
        <v>67</v>
      </c>
      <c r="I454" s="26" t="s">
        <v>68</v>
      </c>
      <c r="J454" s="26" t="s">
        <v>69</v>
      </c>
      <c r="K454" s="26">
        <v>713</v>
      </c>
      <c r="L454" s="26" t="s">
        <v>70</v>
      </c>
      <c r="M454" s="26">
        <v>713</v>
      </c>
      <c r="N454" s="26" t="s">
        <v>71</v>
      </c>
      <c r="O454" s="26" t="s">
        <v>72</v>
      </c>
      <c r="P454" s="26">
        <v>45</v>
      </c>
      <c r="Q454" s="27">
        <v>21278</v>
      </c>
      <c r="R454" s="26">
        <v>0</v>
      </c>
      <c r="S454" s="26" t="s">
        <v>1019</v>
      </c>
      <c r="T454" s="26" t="s">
        <v>80</v>
      </c>
      <c r="U454" s="26" t="str">
        <f t="shared" si="170"/>
        <v>PR</v>
      </c>
      <c r="V454" s="26">
        <f t="shared" si="173"/>
        <v>30</v>
      </c>
      <c r="W454" s="26" t="s">
        <v>1008</v>
      </c>
      <c r="X454" s="26">
        <v>3</v>
      </c>
      <c r="Y454" s="26" t="s">
        <v>194</v>
      </c>
      <c r="Z454" s="26" t="s">
        <v>75</v>
      </c>
      <c r="AA454" s="28">
        <f t="shared" si="165"/>
        <v>1.052</v>
      </c>
      <c r="AB454" s="28">
        <f t="shared" si="166"/>
        <v>16.129000000000001</v>
      </c>
      <c r="AC454" s="28">
        <f t="shared" si="167"/>
        <v>16.158999999999999</v>
      </c>
      <c r="AD454" s="28">
        <f t="shared" ref="AD454" si="178">ROUND(AC454,0)+ROUND(AE454,0)-ROUND(AA454,0)-ROUND(AB454,0)</f>
        <v>0</v>
      </c>
      <c r="AE454" s="28">
        <f t="shared" si="168"/>
        <v>1.022</v>
      </c>
      <c r="AF454" s="28">
        <f t="shared" si="154"/>
        <v>9037.49</v>
      </c>
      <c r="AG454" s="28">
        <f t="shared" si="155"/>
        <v>2.98</v>
      </c>
      <c r="AH454" s="28">
        <v>665</v>
      </c>
      <c r="AI454" s="28">
        <f t="shared" si="161"/>
        <v>0</v>
      </c>
      <c r="AJ454" s="28">
        <f t="shared" si="156"/>
        <v>8368.7360000000008</v>
      </c>
      <c r="AK454" s="30">
        <f>'Report Inputs'!$F$2</f>
        <v>55.9</v>
      </c>
      <c r="AL454" s="28">
        <f>'Report Inputs'!$E$2</f>
        <v>1080</v>
      </c>
      <c r="AM454" s="28">
        <f t="shared" si="157"/>
        <v>39.143999999999998</v>
      </c>
      <c r="AN454" s="26" t="s">
        <v>744</v>
      </c>
      <c r="AS454" s="26" t="s">
        <v>76</v>
      </c>
      <c r="AT454" s="26" t="s">
        <v>77</v>
      </c>
      <c r="AU454" s="26" t="s">
        <v>78</v>
      </c>
      <c r="AV454" s="31">
        <f t="shared" ca="1" si="169"/>
        <v>42376.365370717591</v>
      </c>
    </row>
    <row r="455" spans="1:50">
      <c r="A455" s="26">
        <v>7</v>
      </c>
      <c r="B455" s="26">
        <f>MONTH('Report Inputs'!$B$2)</f>
        <v>11</v>
      </c>
      <c r="C455" s="26">
        <f>YEAR('Report Inputs'!$B$2)</f>
        <v>2015</v>
      </c>
      <c r="D455" s="26">
        <v>66571</v>
      </c>
      <c r="F455" s="26" t="s">
        <v>65</v>
      </c>
      <c r="G455" s="26" t="s">
        <v>66</v>
      </c>
      <c r="H455" s="26" t="s">
        <v>67</v>
      </c>
      <c r="I455" s="26" t="s">
        <v>68</v>
      </c>
      <c r="J455" s="26" t="s">
        <v>69</v>
      </c>
      <c r="K455" s="26">
        <v>713</v>
      </c>
      <c r="L455" s="26" t="s">
        <v>70</v>
      </c>
      <c r="M455" s="26">
        <v>713</v>
      </c>
      <c r="N455" s="26" t="s">
        <v>71</v>
      </c>
      <c r="O455" s="26" t="s">
        <v>72</v>
      </c>
      <c r="P455" s="26">
        <v>45</v>
      </c>
      <c r="Q455" s="27">
        <v>17881</v>
      </c>
      <c r="R455" s="26">
        <v>0</v>
      </c>
      <c r="S455" s="26" t="s">
        <v>1021</v>
      </c>
      <c r="T455" s="26" t="s">
        <v>80</v>
      </c>
      <c r="U455" s="26" t="str">
        <f t="shared" si="170"/>
        <v>PR</v>
      </c>
      <c r="V455" s="26">
        <f t="shared" si="173"/>
        <v>30</v>
      </c>
      <c r="W455" s="26" t="s">
        <v>1008</v>
      </c>
      <c r="X455" s="26">
        <v>3</v>
      </c>
      <c r="Y455" s="26" t="s">
        <v>194</v>
      </c>
      <c r="Z455" s="26" t="s">
        <v>75</v>
      </c>
      <c r="AA455" s="28">
        <f t="shared" si="165"/>
        <v>0.85099999999999998</v>
      </c>
      <c r="AB455" s="28">
        <f t="shared" si="166"/>
        <v>13</v>
      </c>
      <c r="AC455" s="28">
        <f t="shared" si="167"/>
        <v>13.026999999999999</v>
      </c>
      <c r="AD455" s="28">
        <f t="shared" ref="AD455" si="179">ROUND(AC455,0)+ROUND(AE455,0)-ROUND(AA455,0)-ROUND(AB455,0)</f>
        <v>0</v>
      </c>
      <c r="AE455" s="28">
        <f t="shared" si="168"/>
        <v>0.82399999999999995</v>
      </c>
      <c r="AF455" s="28">
        <f t="shared" si="154"/>
        <v>7152.65</v>
      </c>
      <c r="AG455" s="28">
        <f t="shared" si="155"/>
        <v>2.4</v>
      </c>
      <c r="AH455" s="28">
        <v>406</v>
      </c>
      <c r="AI455" s="28">
        <f t="shared" si="161"/>
        <v>0</v>
      </c>
      <c r="AJ455" s="28">
        <f t="shared" si="156"/>
        <v>6745.0950000000003</v>
      </c>
      <c r="AK455" s="30">
        <f>'Report Inputs'!$F$2</f>
        <v>55.9</v>
      </c>
      <c r="AL455" s="28">
        <f>'Report Inputs'!$E$2</f>
        <v>1080</v>
      </c>
      <c r="AM455" s="28">
        <f t="shared" si="157"/>
        <v>31.548999999999999</v>
      </c>
      <c r="AN455" s="26" t="s">
        <v>744</v>
      </c>
      <c r="AS455" s="26" t="s">
        <v>76</v>
      </c>
      <c r="AT455" s="26" t="s">
        <v>77</v>
      </c>
      <c r="AU455" s="26" t="s">
        <v>78</v>
      </c>
      <c r="AV455" s="31">
        <f t="shared" ca="1" si="169"/>
        <v>42376.365370717591</v>
      </c>
    </row>
    <row r="456" spans="1:50">
      <c r="A456" s="26">
        <v>7</v>
      </c>
      <c r="B456" s="26">
        <f>MONTH('Report Inputs'!$B$2)</f>
        <v>11</v>
      </c>
      <c r="C456" s="26">
        <f>YEAR('Report Inputs'!$B$2)</f>
        <v>2015</v>
      </c>
      <c r="D456" s="26">
        <v>66571</v>
      </c>
      <c r="F456" s="26" t="s">
        <v>65</v>
      </c>
      <c r="G456" s="26" t="s">
        <v>66</v>
      </c>
      <c r="H456" s="26" t="s">
        <v>67</v>
      </c>
      <c r="I456" s="26" t="s">
        <v>68</v>
      </c>
      <c r="J456" s="26" t="s">
        <v>69</v>
      </c>
      <c r="K456" s="26">
        <v>713</v>
      </c>
      <c r="L456" s="26" t="s">
        <v>70</v>
      </c>
      <c r="M456" s="26">
        <v>713</v>
      </c>
      <c r="N456" s="26" t="s">
        <v>71</v>
      </c>
      <c r="O456" s="26" t="s">
        <v>72</v>
      </c>
      <c r="P456" s="26">
        <v>45</v>
      </c>
      <c r="Q456" s="27">
        <v>17892</v>
      </c>
      <c r="R456" s="26">
        <v>0</v>
      </c>
      <c r="S456" s="26" t="s">
        <v>1022</v>
      </c>
      <c r="T456" s="26" t="s">
        <v>80</v>
      </c>
      <c r="U456" s="26" t="str">
        <f t="shared" si="170"/>
        <v>PR</v>
      </c>
      <c r="V456" s="26">
        <f t="shared" si="173"/>
        <v>30</v>
      </c>
      <c r="W456" s="26" t="s">
        <v>1008</v>
      </c>
      <c r="X456" s="26">
        <v>3</v>
      </c>
      <c r="Y456" s="26" t="s">
        <v>194</v>
      </c>
      <c r="Z456" s="26" t="s">
        <v>75</v>
      </c>
      <c r="AA456" s="28">
        <f t="shared" si="165"/>
        <v>0.96599999999999997</v>
      </c>
      <c r="AB456" s="28">
        <f t="shared" si="166"/>
        <v>14.753</v>
      </c>
      <c r="AC456" s="28">
        <f t="shared" si="167"/>
        <v>14.784000000000001</v>
      </c>
      <c r="AD456" s="28">
        <f t="shared" ref="AD456" si="180">ROUND(AC456,0)+ROUND(AE456,0)-ROUND(AA456,0)-ROUND(AB456,0)</f>
        <v>0</v>
      </c>
      <c r="AE456" s="28">
        <f t="shared" si="168"/>
        <v>0.93500000000000005</v>
      </c>
      <c r="AF456" s="28">
        <f t="shared" si="154"/>
        <v>8103.97</v>
      </c>
      <c r="AG456" s="28">
        <f t="shared" si="155"/>
        <v>2.72</v>
      </c>
      <c r="AH456" s="28">
        <f t="shared" si="158"/>
        <v>446.42599999999999</v>
      </c>
      <c r="AI456" s="28">
        <f t="shared" si="161"/>
        <v>0</v>
      </c>
      <c r="AJ456" s="28">
        <f t="shared" si="156"/>
        <v>7654.8239999999996</v>
      </c>
      <c r="AK456" s="30">
        <f>'Report Inputs'!$F$2</f>
        <v>55.9</v>
      </c>
      <c r="AL456" s="28">
        <f>'Report Inputs'!$E$2</f>
        <v>1080</v>
      </c>
      <c r="AM456" s="28">
        <f t="shared" si="157"/>
        <v>35.805</v>
      </c>
      <c r="AN456" s="26" t="s">
        <v>744</v>
      </c>
      <c r="AS456" s="26" t="s">
        <v>76</v>
      </c>
      <c r="AT456" s="26" t="s">
        <v>77</v>
      </c>
      <c r="AU456" s="26" t="s">
        <v>78</v>
      </c>
      <c r="AV456" s="31">
        <f t="shared" ca="1" si="169"/>
        <v>42376.365370717591</v>
      </c>
    </row>
    <row r="457" spans="1:50">
      <c r="A457" s="26">
        <v>7</v>
      </c>
      <c r="B457" s="26">
        <f>MONTH('Report Inputs'!$B$2)</f>
        <v>11</v>
      </c>
      <c r="C457" s="26">
        <f>YEAR('Report Inputs'!$B$2)</f>
        <v>2015</v>
      </c>
      <c r="D457" s="26">
        <v>66571</v>
      </c>
      <c r="F457" s="26" t="s">
        <v>65</v>
      </c>
      <c r="G457" s="26" t="s">
        <v>66</v>
      </c>
      <c r="H457" s="26" t="s">
        <v>67</v>
      </c>
      <c r="I457" s="26" t="s">
        <v>68</v>
      </c>
      <c r="J457" s="26" t="s">
        <v>69</v>
      </c>
      <c r="K457" s="26">
        <v>713</v>
      </c>
      <c r="L457" s="26" t="s">
        <v>70</v>
      </c>
      <c r="M457" s="26">
        <v>713</v>
      </c>
      <c r="N457" s="26" t="s">
        <v>71</v>
      </c>
      <c r="O457" s="26" t="s">
        <v>72</v>
      </c>
      <c r="P457" s="26">
        <v>45</v>
      </c>
      <c r="Q457" s="27">
        <v>21280</v>
      </c>
      <c r="R457" s="26">
        <v>0</v>
      </c>
      <c r="S457" s="26" t="s">
        <v>1020</v>
      </c>
      <c r="T457" s="26" t="s">
        <v>80</v>
      </c>
      <c r="U457" s="26" t="str">
        <f t="shared" si="170"/>
        <v>PR</v>
      </c>
      <c r="V457" s="26">
        <f t="shared" si="173"/>
        <v>30</v>
      </c>
      <c r="W457" s="26" t="s">
        <v>1008</v>
      </c>
      <c r="X457" s="26">
        <v>3</v>
      </c>
      <c r="Y457" s="26" t="s">
        <v>194</v>
      </c>
      <c r="Z457" s="26" t="s">
        <v>75</v>
      </c>
      <c r="AA457" s="28">
        <f t="shared" si="165"/>
        <v>1.1919999999999999</v>
      </c>
      <c r="AB457" s="28">
        <f t="shared" si="166"/>
        <v>18.367999999999999</v>
      </c>
      <c r="AC457" s="28">
        <f t="shared" si="167"/>
        <v>18.398</v>
      </c>
      <c r="AD457" s="28">
        <f t="shared" ref="AD457" si="181">ROUND(AC457,0)+ROUND(AE457,0)-ROUND(AA457,0)-ROUND(AB457,0)</f>
        <v>0</v>
      </c>
      <c r="AE457" s="28">
        <f t="shared" si="168"/>
        <v>1.1619999999999999</v>
      </c>
      <c r="AF457" s="28">
        <f t="shared" si="154"/>
        <v>10065.44</v>
      </c>
      <c r="AG457" s="28">
        <f t="shared" si="155"/>
        <v>3.39</v>
      </c>
      <c r="AH457" s="28">
        <v>531</v>
      </c>
      <c r="AI457" s="28">
        <f t="shared" si="161"/>
        <v>0</v>
      </c>
      <c r="AJ457" s="28">
        <f t="shared" si="156"/>
        <v>9530.5290000000005</v>
      </c>
      <c r="AK457" s="30">
        <f>'Report Inputs'!$F$2</f>
        <v>55.9</v>
      </c>
      <c r="AL457" s="28">
        <f>'Report Inputs'!$E$2</f>
        <v>1080</v>
      </c>
      <c r="AM457" s="28">
        <f t="shared" si="157"/>
        <v>44.578000000000003</v>
      </c>
      <c r="AN457" s="26" t="s">
        <v>744</v>
      </c>
      <c r="AS457" s="26" t="s">
        <v>76</v>
      </c>
      <c r="AT457" s="26" t="s">
        <v>77</v>
      </c>
      <c r="AU457" s="26" t="s">
        <v>78</v>
      </c>
      <c r="AV457" s="31">
        <f t="shared" ca="1" si="169"/>
        <v>42376.365370717591</v>
      </c>
    </row>
    <row r="458" spans="1:50">
      <c r="A458" s="26">
        <v>7</v>
      </c>
      <c r="B458" s="26">
        <f>MONTH('Report Inputs'!$B$2)</f>
        <v>11</v>
      </c>
      <c r="C458" s="26">
        <f>YEAR('Report Inputs'!$B$2)</f>
        <v>2015</v>
      </c>
      <c r="D458" s="26">
        <v>66571</v>
      </c>
      <c r="F458" s="26" t="s">
        <v>65</v>
      </c>
      <c r="G458" s="26" t="s">
        <v>66</v>
      </c>
      <c r="H458" s="26" t="s">
        <v>67</v>
      </c>
      <c r="I458" s="26" t="s">
        <v>68</v>
      </c>
      <c r="J458" s="26" t="s">
        <v>69</v>
      </c>
      <c r="K458" s="26">
        <v>713</v>
      </c>
      <c r="L458" s="26" t="s">
        <v>70</v>
      </c>
      <c r="M458" s="26">
        <v>713</v>
      </c>
      <c r="N458" s="26" t="s">
        <v>71</v>
      </c>
      <c r="O458" s="26" t="s">
        <v>72</v>
      </c>
      <c r="P458" s="26">
        <v>45</v>
      </c>
      <c r="Q458" s="27">
        <v>21282</v>
      </c>
      <c r="R458" s="26">
        <v>0</v>
      </c>
      <c r="S458" s="26" t="s">
        <v>1023</v>
      </c>
      <c r="T458" s="26" t="s">
        <v>80</v>
      </c>
      <c r="U458" s="26" t="str">
        <f t="shared" si="170"/>
        <v>PR</v>
      </c>
      <c r="V458" s="26">
        <f t="shared" si="173"/>
        <v>30</v>
      </c>
      <c r="W458" s="26" t="s">
        <v>1008</v>
      </c>
      <c r="X458" s="26">
        <v>3</v>
      </c>
      <c r="Y458" s="26" t="s">
        <v>194</v>
      </c>
      <c r="Z458" s="26" t="s">
        <v>75</v>
      </c>
      <c r="AA458" s="28">
        <f t="shared" si="165"/>
        <v>1.304</v>
      </c>
      <c r="AB458" s="28">
        <f t="shared" si="166"/>
        <v>20.373999999999999</v>
      </c>
      <c r="AC458" s="28">
        <f t="shared" si="167"/>
        <v>20.390999999999998</v>
      </c>
      <c r="AD458" s="28">
        <f t="shared" ref="AD458" si="182">ROUND(AC458,0)+ROUND(AE458,0)-ROUND(AA458,0)-ROUND(AB458,0)</f>
        <v>0</v>
      </c>
      <c r="AE458" s="28">
        <f t="shared" si="168"/>
        <v>1.2869999999999999</v>
      </c>
      <c r="AF458" s="28">
        <f t="shared" si="154"/>
        <v>11153.11</v>
      </c>
      <c r="AG458" s="28">
        <f t="shared" si="155"/>
        <v>3.76</v>
      </c>
      <c r="AH458" s="28">
        <v>578</v>
      </c>
      <c r="AI458" s="28">
        <f t="shared" si="161"/>
        <v>0</v>
      </c>
      <c r="AJ458" s="28">
        <f t="shared" si="156"/>
        <v>10570.642</v>
      </c>
      <c r="AK458" s="30">
        <f>'Report Inputs'!$F$2</f>
        <v>55.9</v>
      </c>
      <c r="AL458" s="28">
        <f>'Report Inputs'!$E$2</f>
        <v>1080</v>
      </c>
      <c r="AM458" s="28">
        <f t="shared" si="157"/>
        <v>49.444000000000003</v>
      </c>
      <c r="AN458" s="26" t="s">
        <v>744</v>
      </c>
      <c r="AS458" s="26" t="s">
        <v>76</v>
      </c>
      <c r="AT458" s="26" t="s">
        <v>77</v>
      </c>
      <c r="AU458" s="26" t="s">
        <v>78</v>
      </c>
      <c r="AV458" s="31">
        <f t="shared" ca="1" si="169"/>
        <v>42376.365370717591</v>
      </c>
    </row>
    <row r="459" spans="1:50">
      <c r="A459" s="26">
        <v>7</v>
      </c>
      <c r="B459" s="26">
        <f>MONTH('Report Inputs'!$B$2)</f>
        <v>11</v>
      </c>
      <c r="C459" s="26">
        <f>YEAR('Report Inputs'!$B$2)</f>
        <v>2015</v>
      </c>
      <c r="D459" s="26">
        <v>66571</v>
      </c>
      <c r="F459" s="26" t="s">
        <v>65</v>
      </c>
      <c r="G459" s="26" t="s">
        <v>66</v>
      </c>
      <c r="H459" s="26" t="s">
        <v>67</v>
      </c>
      <c r="I459" s="26" t="s">
        <v>68</v>
      </c>
      <c r="J459" s="26" t="s">
        <v>69</v>
      </c>
      <c r="K459" s="26">
        <v>713</v>
      </c>
      <c r="L459" s="26" t="s">
        <v>70</v>
      </c>
      <c r="M459" s="26">
        <v>713</v>
      </c>
      <c r="N459" s="26" t="s">
        <v>71</v>
      </c>
      <c r="O459" s="26" t="s">
        <v>72</v>
      </c>
      <c r="P459" s="26">
        <v>45</v>
      </c>
      <c r="Q459" s="27">
        <v>15251</v>
      </c>
      <c r="R459" s="26">
        <v>0</v>
      </c>
      <c r="S459" s="26" t="s">
        <v>1034</v>
      </c>
      <c r="T459" s="26" t="s">
        <v>80</v>
      </c>
      <c r="U459" s="26" t="str">
        <f t="shared" si="170"/>
        <v>PR</v>
      </c>
      <c r="V459" s="26">
        <f t="shared" si="173"/>
        <v>30</v>
      </c>
      <c r="W459" s="26" t="s">
        <v>73</v>
      </c>
      <c r="X459" s="26">
        <v>17</v>
      </c>
      <c r="Y459" s="26" t="s">
        <v>74</v>
      </c>
      <c r="Z459" s="26" t="s">
        <v>75</v>
      </c>
      <c r="AA459" s="28">
        <f t="shared" si="165"/>
        <v>0.57899999999999996</v>
      </c>
      <c r="AB459" s="28">
        <f t="shared" si="166"/>
        <v>6.3879999999999999</v>
      </c>
      <c r="AC459" s="28">
        <f t="shared" si="167"/>
        <v>6.59</v>
      </c>
      <c r="AD459" s="28">
        <f t="shared" ref="AD459" si="183">ROUND(AC459,0)+ROUND(AE459,0)-ROUND(AA459,0)-ROUND(AB459,0)</f>
        <v>0</v>
      </c>
      <c r="AE459" s="28">
        <f t="shared" si="168"/>
        <v>0.377</v>
      </c>
      <c r="AF459" s="28">
        <f t="shared" si="154"/>
        <v>3065.83</v>
      </c>
      <c r="AG459" s="28">
        <f t="shared" si="155"/>
        <v>1.2</v>
      </c>
      <c r="AH459" s="28">
        <f t="shared" si="158"/>
        <v>268.10000000000002</v>
      </c>
      <c r="AI459" s="28">
        <f t="shared" si="161"/>
        <v>0</v>
      </c>
      <c r="AJ459" s="28">
        <f t="shared" si="156"/>
        <v>2796.53</v>
      </c>
      <c r="AK459" s="30">
        <f>'Report Inputs'!$F$2</f>
        <v>55.9</v>
      </c>
      <c r="AL459" s="28">
        <f>'Report Inputs'!$E$2</f>
        <v>1080</v>
      </c>
      <c r="AM459" s="28">
        <f t="shared" si="157"/>
        <v>86.855000000000004</v>
      </c>
      <c r="AN459" s="26" t="s">
        <v>744</v>
      </c>
      <c r="AS459" s="26" t="s">
        <v>76</v>
      </c>
      <c r="AT459" s="26" t="s">
        <v>77</v>
      </c>
      <c r="AU459" s="26" t="s">
        <v>78</v>
      </c>
      <c r="AV459" s="31">
        <f t="shared" ca="1" si="169"/>
        <v>42376.365370717591</v>
      </c>
    </row>
    <row r="460" spans="1:50" s="32" customFormat="1">
      <c r="A460" s="32">
        <v>7</v>
      </c>
      <c r="B460" s="32">
        <f>MONTH('Report Inputs'!$B$2)</f>
        <v>11</v>
      </c>
      <c r="C460" s="32">
        <f>YEAR('Report Inputs'!$B$2)</f>
        <v>2015</v>
      </c>
      <c r="D460" s="32">
        <v>66571</v>
      </c>
      <c r="F460" s="32" t="s">
        <v>65</v>
      </c>
      <c r="G460" s="32" t="s">
        <v>66</v>
      </c>
      <c r="H460" s="32" t="s">
        <v>67</v>
      </c>
      <c r="I460" s="32" t="s">
        <v>68</v>
      </c>
      <c r="J460" s="32" t="s">
        <v>69</v>
      </c>
      <c r="K460" s="32">
        <v>713</v>
      </c>
      <c r="L460" s="32" t="s">
        <v>70</v>
      </c>
      <c r="M460" s="32">
        <v>713</v>
      </c>
      <c r="N460" s="32" t="s">
        <v>71</v>
      </c>
      <c r="O460" s="32" t="s">
        <v>72</v>
      </c>
      <c r="P460" s="32">
        <v>45</v>
      </c>
      <c r="Q460" s="33">
        <v>6857</v>
      </c>
      <c r="R460" s="32">
        <v>0</v>
      </c>
      <c r="S460" s="32" t="s">
        <v>1037</v>
      </c>
      <c r="T460" s="32" t="s">
        <v>1035</v>
      </c>
      <c r="U460" s="26" t="str">
        <f>IF(V460&gt;0,"IJ","SI")</f>
        <v>IJ</v>
      </c>
      <c r="V460" s="32">
        <v>3</v>
      </c>
      <c r="W460" s="32" t="s">
        <v>73</v>
      </c>
      <c r="X460" s="32">
        <v>29</v>
      </c>
      <c r="Y460" s="32" t="s">
        <v>74</v>
      </c>
      <c r="Z460" s="32" t="s">
        <v>75</v>
      </c>
      <c r="AA460" s="29"/>
      <c r="AB460" s="29"/>
      <c r="AC460" s="29"/>
      <c r="AD460" s="29"/>
      <c r="AE460" s="29"/>
      <c r="AF460" s="29"/>
      <c r="AG460" s="28"/>
      <c r="AH460" s="28"/>
      <c r="AI460" s="28"/>
      <c r="AJ460" s="29"/>
      <c r="AK460" s="34"/>
      <c r="AL460" s="29"/>
      <c r="AM460" s="29">
        <v>520</v>
      </c>
      <c r="AO460" s="32">
        <v>469</v>
      </c>
      <c r="AP460" s="32">
        <v>0</v>
      </c>
      <c r="AS460" s="32" t="s">
        <v>76</v>
      </c>
      <c r="AT460" s="32" t="s">
        <v>77</v>
      </c>
      <c r="AU460" s="32" t="s">
        <v>78</v>
      </c>
      <c r="AV460" s="35">
        <f t="shared" ca="1" si="169"/>
        <v>42376.365370717591</v>
      </c>
    </row>
    <row r="461" spans="1:50" s="32" customFormat="1">
      <c r="A461" s="32">
        <v>7</v>
      </c>
      <c r="B461" s="32">
        <f>MONTH('Report Inputs'!$B$2)</f>
        <v>11</v>
      </c>
      <c r="C461" s="32">
        <f>YEAR('Report Inputs'!$B$2)</f>
        <v>2015</v>
      </c>
      <c r="D461" s="32">
        <v>66571</v>
      </c>
      <c r="F461" s="32" t="s">
        <v>65</v>
      </c>
      <c r="G461" s="32" t="s">
        <v>66</v>
      </c>
      <c r="H461" s="32" t="s">
        <v>67</v>
      </c>
      <c r="I461" s="32" t="s">
        <v>68</v>
      </c>
      <c r="J461" s="32" t="s">
        <v>69</v>
      </c>
      <c r="K461" s="32">
        <v>713</v>
      </c>
      <c r="L461" s="32" t="s">
        <v>70</v>
      </c>
      <c r="M461" s="32">
        <v>713</v>
      </c>
      <c r="N461" s="32" t="s">
        <v>71</v>
      </c>
      <c r="O461" s="32" t="s">
        <v>72</v>
      </c>
      <c r="P461" s="32">
        <v>45</v>
      </c>
      <c r="Q461" s="33">
        <v>6857</v>
      </c>
      <c r="R461" s="32">
        <v>0</v>
      </c>
      <c r="S461" s="32" t="s">
        <v>1037</v>
      </c>
      <c r="T461" s="32" t="s">
        <v>668</v>
      </c>
      <c r="U461" s="26" t="str">
        <f t="shared" ref="U461:U462" si="184">IF(V461&gt;0,"IJ","SI")</f>
        <v>IJ</v>
      </c>
      <c r="V461" s="32">
        <v>3</v>
      </c>
      <c r="W461" s="32" t="s">
        <v>73</v>
      </c>
      <c r="X461" s="32">
        <v>29</v>
      </c>
      <c r="Y461" s="32" t="s">
        <v>74</v>
      </c>
      <c r="Z461" s="32" t="s">
        <v>75</v>
      </c>
      <c r="AA461" s="29"/>
      <c r="AB461" s="29"/>
      <c r="AC461" s="29"/>
      <c r="AD461" s="29"/>
      <c r="AE461" s="29"/>
      <c r="AF461" s="29"/>
      <c r="AG461" s="28"/>
      <c r="AH461" s="28"/>
      <c r="AI461" s="28"/>
      <c r="AJ461" s="29"/>
      <c r="AK461" s="34"/>
      <c r="AL461" s="29"/>
      <c r="AM461" s="29">
        <v>520</v>
      </c>
      <c r="AO461" s="32">
        <v>469</v>
      </c>
      <c r="AP461" s="32">
        <v>0</v>
      </c>
      <c r="AS461" s="32" t="s">
        <v>76</v>
      </c>
      <c r="AT461" s="32" t="s">
        <v>77</v>
      </c>
      <c r="AU461" s="32" t="s">
        <v>78</v>
      </c>
      <c r="AV461" s="35">
        <f t="shared" ca="1" si="169"/>
        <v>42376.365370717591</v>
      </c>
    </row>
    <row r="462" spans="1:50" s="32" customFormat="1">
      <c r="A462" s="32">
        <v>7</v>
      </c>
      <c r="B462" s="32">
        <f>MONTH('Report Inputs'!$B$2)</f>
        <v>11</v>
      </c>
      <c r="C462" s="32">
        <f>YEAR('Report Inputs'!$B$2)</f>
        <v>2015</v>
      </c>
      <c r="D462" s="32">
        <v>66571</v>
      </c>
      <c r="F462" s="32" t="s">
        <v>65</v>
      </c>
      <c r="G462" s="32" t="s">
        <v>66</v>
      </c>
      <c r="H462" s="32" t="s">
        <v>67</v>
      </c>
      <c r="I462" s="32" t="s">
        <v>68</v>
      </c>
      <c r="J462" s="32" t="s">
        <v>69</v>
      </c>
      <c r="K462" s="32">
        <v>713</v>
      </c>
      <c r="L462" s="32" t="s">
        <v>70</v>
      </c>
      <c r="M462" s="32">
        <v>713</v>
      </c>
      <c r="N462" s="32" t="s">
        <v>71</v>
      </c>
      <c r="O462" s="32" t="s">
        <v>72</v>
      </c>
      <c r="P462" s="32">
        <v>45</v>
      </c>
      <c r="Q462" s="33">
        <v>6857</v>
      </c>
      <c r="R462" s="32">
        <v>0</v>
      </c>
      <c r="S462" s="32" t="s">
        <v>1036</v>
      </c>
      <c r="T462" s="32" t="s">
        <v>83</v>
      </c>
      <c r="U462" s="26" t="str">
        <f t="shared" si="184"/>
        <v>IJ</v>
      </c>
      <c r="V462" s="32">
        <v>3</v>
      </c>
      <c r="W462" s="32" t="s">
        <v>73</v>
      </c>
      <c r="X462" s="32">
        <v>29</v>
      </c>
      <c r="Y462" s="32" t="s">
        <v>74</v>
      </c>
      <c r="Z462" s="32" t="s">
        <v>75</v>
      </c>
      <c r="AA462" s="29"/>
      <c r="AB462" s="29"/>
      <c r="AC462" s="29"/>
      <c r="AD462" s="29"/>
      <c r="AE462" s="29"/>
      <c r="AF462" s="29"/>
      <c r="AG462" s="28"/>
      <c r="AH462" s="28"/>
      <c r="AI462" s="28"/>
      <c r="AJ462" s="29"/>
      <c r="AK462" s="34"/>
      <c r="AL462" s="29"/>
      <c r="AM462" s="29">
        <v>537</v>
      </c>
      <c r="AO462" s="32">
        <v>469</v>
      </c>
      <c r="AP462" s="32">
        <v>0</v>
      </c>
      <c r="AS462" s="32" t="s">
        <v>76</v>
      </c>
      <c r="AT462" s="32" t="s">
        <v>77</v>
      </c>
      <c r="AU462" s="32" t="s">
        <v>78</v>
      </c>
      <c r="AV462" s="35">
        <f t="shared" ca="1" si="169"/>
        <v>42376.365370717591</v>
      </c>
    </row>
    <row r="463" spans="1:50">
      <c r="A463" s="32">
        <v>7</v>
      </c>
      <c r="B463" s="32">
        <f>MONTH('Report Inputs'!$B$2)</f>
        <v>11</v>
      </c>
      <c r="C463" s="32">
        <f>YEAR('Report Inputs'!$B$2)</f>
        <v>2015</v>
      </c>
      <c r="D463" s="32">
        <v>66571</v>
      </c>
      <c r="E463" s="32"/>
      <c r="F463" s="32" t="s">
        <v>65</v>
      </c>
      <c r="G463" s="32" t="s">
        <v>66</v>
      </c>
      <c r="H463" s="32" t="s">
        <v>67</v>
      </c>
      <c r="I463" s="32" t="s">
        <v>68</v>
      </c>
      <c r="J463" s="32" t="s">
        <v>69</v>
      </c>
      <c r="K463" s="32">
        <v>713</v>
      </c>
      <c r="L463" s="32" t="s">
        <v>70</v>
      </c>
      <c r="M463" s="32">
        <v>713</v>
      </c>
      <c r="N463" s="32" t="s">
        <v>71</v>
      </c>
      <c r="O463" s="32" t="s">
        <v>72</v>
      </c>
      <c r="P463" s="32">
        <v>45</v>
      </c>
      <c r="Q463" s="27">
        <v>22291</v>
      </c>
      <c r="R463" s="26">
        <v>1</v>
      </c>
      <c r="S463" s="26" t="s">
        <v>1038</v>
      </c>
      <c r="T463" s="26" t="s">
        <v>727</v>
      </c>
      <c r="U463" s="26" t="str">
        <f t="shared" si="170"/>
        <v>PR</v>
      </c>
      <c r="V463" s="26">
        <f t="shared" si="173"/>
        <v>30</v>
      </c>
      <c r="W463" s="26" t="s">
        <v>1039</v>
      </c>
      <c r="X463" s="26">
        <v>9</v>
      </c>
      <c r="Y463" s="26" t="s">
        <v>194</v>
      </c>
      <c r="Z463" s="26" t="s">
        <v>75</v>
      </c>
      <c r="AA463" s="28">
        <f t="shared" ref="AA463" si="185">IF(ISNA(VLOOKUP($Q463,data,5,FALSE)),0,VLOOKUP($Q463,data,5,FALSE))</f>
        <v>10.992000000000001</v>
      </c>
      <c r="AB463" s="28">
        <f t="shared" ref="AB463" si="186">IF(ISNA(VLOOKUP($Q463,data,7,FALSE)),0,VLOOKUP($Q463,data,7,FALSE))</f>
        <v>10.441000000000001</v>
      </c>
      <c r="AC463" s="28">
        <f t="shared" ref="AC463" si="187">IF(ISNA(VLOOKUP($Q463,data,6,FALSE)),0,VLOOKUP($Q463,data,6,FALSE))</f>
        <v>11.141999999999999</v>
      </c>
      <c r="AD463" s="28">
        <f t="shared" ref="AD463" si="188">ROUND(AC463,0)+ROUND(AE463,0)-ROUND(AA463,0)-ROUND(AB463,0)</f>
        <v>0</v>
      </c>
      <c r="AE463" s="28">
        <f t="shared" ref="AE463" si="189">IF(ISNA(VLOOKUP($Q463,data,13,FALSE)),0,VLOOKUP($Q463,data,13,FALSE))</f>
        <v>10.291</v>
      </c>
      <c r="AF463" s="28">
        <f t="shared" ref="AF463" si="190">IF(ISNA(VLOOKUP($Q463,data,9,FALSE)),0,VLOOKUP($Q463,data,9,FALSE))</f>
        <v>62723.199999999997</v>
      </c>
      <c r="AG463" s="28">
        <f t="shared" ref="AG463" si="191">IF(ISNA(VLOOKUP($Q463,data,10,FALSE)),0,VLOOKUP($Q463,data,10,FALSE))</f>
        <v>0</v>
      </c>
      <c r="AH463" s="28">
        <f t="shared" ref="AH463" si="192">IF(ISNA(VLOOKUP($Q463,data,11,FALSE)),0,VLOOKUP($Q463,data,11,FALSE))</f>
        <v>2722.4630000000002</v>
      </c>
      <c r="AI463" s="28">
        <f t="shared" ref="AI463" si="193">ROUND(AF463,0)-ROUND(AG463,0)-ROUND(AH463,0)-ROUND(AJ463,0)</f>
        <v>0</v>
      </c>
      <c r="AJ463" s="28">
        <f t="shared" ref="AJ463" si="194">IF(ISNA(VLOOKUP($Q463,data,8,FALSE)),0,VLOOKUP($Q463,data,8,FALSE))</f>
        <v>60000.737000000001</v>
      </c>
      <c r="AK463" s="30">
        <f>'Report Inputs'!$F$2</f>
        <v>55.9</v>
      </c>
      <c r="AL463" s="28">
        <f>'Report Inputs'!$E$2</f>
        <v>1080</v>
      </c>
      <c r="AM463" s="28">
        <f t="shared" ref="AM463" si="195">IF(ISNA(VLOOKUP($Q463,data,14,FALSE)),0,VLOOKUP($Q463,data,14,FALSE))</f>
        <v>1030.095</v>
      </c>
      <c r="AN463" s="26" t="s">
        <v>744</v>
      </c>
      <c r="AS463" s="32" t="s">
        <v>76</v>
      </c>
      <c r="AT463" s="32" t="s">
        <v>77</v>
      </c>
      <c r="AU463" s="32" t="s">
        <v>78</v>
      </c>
      <c r="AV463" s="35">
        <f ca="1">NOW()</f>
        <v>42376.365370486114</v>
      </c>
      <c r="AW463" s="32"/>
      <c r="AX463" s="32"/>
    </row>
    <row r="464" spans="1:50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AS464" s="32"/>
      <c r="AT464" s="32"/>
      <c r="AU464" s="32"/>
      <c r="AV464" s="35"/>
      <c r="AW464" s="32"/>
      <c r="AX464" s="32"/>
    </row>
    <row r="466" spans="17:39">
      <c r="AD466" s="29"/>
      <c r="AE466" s="29"/>
      <c r="AF466" s="29"/>
      <c r="AG466" s="29"/>
      <c r="AH466" s="29"/>
      <c r="AI466" s="29"/>
      <c r="AJ466" s="29"/>
    </row>
    <row r="467" spans="17:39">
      <c r="AD467" s="29"/>
      <c r="AE467" s="29"/>
      <c r="AF467" s="29"/>
      <c r="AG467" s="29"/>
      <c r="AH467" s="29"/>
      <c r="AI467" s="29"/>
      <c r="AJ467" s="29"/>
    </row>
    <row r="469" spans="17:39">
      <c r="AD469" s="29"/>
      <c r="AE469" s="29"/>
      <c r="AF469" s="29"/>
      <c r="AG469" s="29"/>
      <c r="AH469" s="29"/>
      <c r="AI469" s="29"/>
      <c r="AJ469" s="29"/>
    </row>
    <row r="470" spans="17:39">
      <c r="AD470" s="29"/>
      <c r="AE470" s="29"/>
      <c r="AF470" s="29"/>
      <c r="AG470" s="29"/>
      <c r="AH470" s="29"/>
      <c r="AI470" s="29"/>
      <c r="AJ470" s="29"/>
    </row>
    <row r="471" spans="17:39">
      <c r="AD471" s="29"/>
      <c r="AE471" s="29"/>
      <c r="AF471" s="29"/>
      <c r="AG471" s="29"/>
      <c r="AH471" s="29"/>
      <c r="AI471" s="29"/>
      <c r="AJ471" s="29"/>
    </row>
    <row r="472" spans="17:39" s="32" customFormat="1">
      <c r="Q472" s="33"/>
      <c r="U472" s="26"/>
      <c r="AA472" s="29"/>
      <c r="AB472" s="29"/>
      <c r="AC472" s="29"/>
      <c r="AD472" s="29"/>
      <c r="AE472" s="29"/>
      <c r="AF472" s="29"/>
      <c r="AG472" s="29"/>
      <c r="AH472" s="29"/>
      <c r="AI472" s="29"/>
      <c r="AJ472" s="29"/>
      <c r="AK472" s="34"/>
      <c r="AL472" s="29"/>
      <c r="AM472" s="29"/>
    </row>
    <row r="473" spans="17:39">
      <c r="AD473" s="29"/>
      <c r="AE473" s="29"/>
      <c r="AF473" s="29"/>
      <c r="AG473" s="29"/>
      <c r="AH473" s="29"/>
      <c r="AI473" s="29"/>
      <c r="AJ473" s="29"/>
    </row>
    <row r="474" spans="17:39">
      <c r="AD474" s="29"/>
      <c r="AE474" s="29"/>
      <c r="AF474" s="29"/>
      <c r="AG474" s="29"/>
      <c r="AH474" s="29"/>
      <c r="AJ474" s="29"/>
    </row>
    <row r="475" spans="17:39">
      <c r="AD475" s="29"/>
      <c r="AE475" s="29"/>
      <c r="AF475" s="36"/>
      <c r="AG475" s="29"/>
      <c r="AH475" s="29"/>
      <c r="AJ475" s="36"/>
    </row>
    <row r="476" spans="17:39">
      <c r="AD476" s="29"/>
      <c r="AE476" s="29"/>
      <c r="AF476" s="36"/>
      <c r="AG476" s="29"/>
      <c r="AH476" s="29"/>
      <c r="AJ476" s="36"/>
    </row>
    <row r="477" spans="17:39">
      <c r="AD477" s="29"/>
      <c r="AE477" s="29"/>
      <c r="AF477" s="36"/>
      <c r="AG477" s="29"/>
      <c r="AH477" s="29"/>
      <c r="AJ477" s="36"/>
    </row>
    <row r="478" spans="17:39">
      <c r="AD478" s="29"/>
      <c r="AE478" s="29"/>
      <c r="AF478" s="36"/>
      <c r="AG478" s="29"/>
      <c r="AH478" s="29"/>
      <c r="AJ478" s="36"/>
    </row>
    <row r="479" spans="17:39">
      <c r="AD479" s="29"/>
      <c r="AE479" s="29"/>
      <c r="AF479" s="36"/>
      <c r="AG479" s="29"/>
      <c r="AH479" s="29"/>
      <c r="AJ479" s="36"/>
    </row>
    <row r="480" spans="17:39">
      <c r="AD480" s="29"/>
      <c r="AE480" s="29"/>
      <c r="AF480" s="29"/>
      <c r="AG480" s="29"/>
      <c r="AH480" s="29"/>
      <c r="AJ480" s="29"/>
    </row>
    <row r="481" spans="17:39">
      <c r="AD481" s="29"/>
      <c r="AE481" s="29"/>
      <c r="AF481" s="29"/>
      <c r="AG481" s="29"/>
      <c r="AH481" s="29"/>
      <c r="AJ481" s="29"/>
    </row>
    <row r="482" spans="17:39" s="32" customFormat="1">
      <c r="Q482" s="33"/>
      <c r="S482" s="26"/>
      <c r="U482" s="26"/>
      <c r="AA482" s="29"/>
      <c r="AB482" s="29"/>
      <c r="AC482" s="29"/>
      <c r="AD482" s="29"/>
      <c r="AE482" s="29"/>
      <c r="AF482" s="29"/>
      <c r="AG482" s="29"/>
      <c r="AH482" s="29"/>
      <c r="AI482" s="28"/>
      <c r="AJ482" s="29"/>
      <c r="AK482" s="34"/>
      <c r="AL482" s="29"/>
      <c r="AM482" s="29"/>
    </row>
  </sheetData>
  <sortState ref="A2:AV444">
    <sortCondition ref="Q2:Q444"/>
  </sortState>
  <phoneticPr fontId="4" type="noConversion"/>
  <printOptions gridLines="1"/>
  <pageMargins left="0" right="0" top="1" bottom="0" header="0.5" footer="0.5"/>
  <pageSetup paperSize="5" scale="46" orientation="landscape" r:id="rId1"/>
  <headerFooter alignWithMargins="0">
    <oddHeader xml:space="preserve">&amp;LNOVEMBER, 2015
FILED 01/14/2016
</oddHeader>
  </headerFooter>
  <colBreaks count="1" manualBreakCount="1">
    <brk id="16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/>
  <dimension ref="A1:F4"/>
  <sheetViews>
    <sheetView workbookViewId="0"/>
  </sheetViews>
  <sheetFormatPr defaultRowHeight="12.75"/>
  <cols>
    <col min="2" max="2" width="64.42578125" bestFit="1" customWidth="1"/>
    <col min="6" max="6" width="11.5703125" customWidth="1"/>
  </cols>
  <sheetData>
    <row r="1" spans="1:6">
      <c r="A1" t="s">
        <v>6</v>
      </c>
      <c r="B1" t="s">
        <v>8</v>
      </c>
      <c r="F1" s="11" t="s">
        <v>10</v>
      </c>
    </row>
    <row r="2" spans="1:6">
      <c r="F2" t="s">
        <v>11</v>
      </c>
    </row>
    <row r="3" spans="1:6">
      <c r="A3" t="s">
        <v>7</v>
      </c>
      <c r="B3" t="s">
        <v>9</v>
      </c>
      <c r="F3" t="s">
        <v>12</v>
      </c>
    </row>
    <row r="4" spans="1:6">
      <c r="F4" t="s">
        <v>13</v>
      </c>
    </row>
  </sheetData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2" sqref="C12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Report Inputs</vt:lpstr>
      <vt:lpstr>Well Data</vt:lpstr>
      <vt:lpstr>CC_66571_11_2015</vt:lpstr>
      <vt:lpstr>Notes</vt:lpstr>
      <vt:lpstr>Sheet1</vt:lpstr>
      <vt:lpstr>data</vt:lpstr>
      <vt:lpstr>Databases</vt:lpstr>
      <vt:lpstr>CC_66571_11_2015!Print_Area</vt:lpstr>
      <vt:lpstr>'Well Data'!Print_Area</vt:lpstr>
      <vt:lpstr>CC_66571_11_2015!Print_Titles</vt:lpstr>
      <vt:lpstr>'Well Data'!Query_from_QEPSPP</vt:lpstr>
      <vt:lpstr>'Well Data'!water_inj_volumes</vt:lpstr>
    </vt:vector>
  </TitlesOfParts>
  <Company>OXY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xhadleyd</dc:creator>
  <cp:lastModifiedBy>Barbara Ephraim</cp:lastModifiedBy>
  <cp:lastPrinted>2015-12-15T13:16:45Z</cp:lastPrinted>
  <dcterms:created xsi:type="dcterms:W3CDTF">2005-02-22T16:49:25Z</dcterms:created>
  <dcterms:modified xsi:type="dcterms:W3CDTF">2016-01-07T14:46:08Z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